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ASUS\2569\KPI69\KPI MT\"/>
    </mc:Choice>
  </mc:AlternateContent>
  <xr:revisionPtr revIDLastSave="0" documentId="13_ncr:1_{303D1398-46FD-4D8A-8A8A-B7FE4B45F4E4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1.สอน" sheetId="3" r:id="rId1"/>
    <sheet name="2.วิจัย" sheetId="1" r:id="rId2"/>
    <sheet name="3.บริการวิชาการ" sheetId="2" r:id="rId3"/>
    <sheet name="4.บริหาร+กิจการนิสิต+ศิลปะวัฒน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F10" i="3"/>
  <c r="G10" i="3"/>
  <c r="K10" i="3"/>
  <c r="K9" i="3"/>
  <c r="E9" i="3"/>
  <c r="F9" i="3"/>
  <c r="G9" i="3"/>
  <c r="F6" i="3"/>
  <c r="K5" i="3"/>
  <c r="I14" i="1"/>
  <c r="D19" i="5"/>
  <c r="D20" i="5"/>
  <c r="D21" i="5"/>
  <c r="D31" i="2"/>
  <c r="D30" i="2"/>
  <c r="D28" i="2"/>
  <c r="D27" i="2"/>
  <c r="E11" i="2"/>
  <c r="D11" i="2"/>
  <c r="I74" i="1"/>
  <c r="I73" i="1"/>
  <c r="I72" i="1"/>
  <c r="I71" i="1"/>
  <c r="I63" i="1"/>
  <c r="I65" i="1"/>
  <c r="I64" i="1"/>
  <c r="I62" i="1"/>
  <c r="I55" i="1"/>
  <c r="I54" i="1"/>
  <c r="I53" i="1"/>
  <c r="I39" i="1"/>
  <c r="G39" i="1"/>
  <c r="I6" i="1"/>
  <c r="L70" i="3"/>
  <c r="L57" i="3"/>
  <c r="L56" i="3"/>
  <c r="L34" i="3"/>
  <c r="L33" i="3"/>
  <c r="H24" i="3"/>
  <c r="D24" i="2"/>
  <c r="D23" i="2"/>
  <c r="D21" i="2"/>
  <c r="D20" i="2"/>
  <c r="D18" i="2"/>
  <c r="D17" i="2"/>
  <c r="D15" i="2"/>
  <c r="D14" i="2"/>
  <c r="D7" i="2"/>
  <c r="I44" i="1"/>
  <c r="I42" i="1"/>
  <c r="G77" i="3"/>
  <c r="G5" i="3"/>
  <c r="F5" i="3"/>
  <c r="E5" i="3"/>
  <c r="K7" i="3"/>
  <c r="G7" i="3"/>
  <c r="F7" i="3"/>
  <c r="E7" i="3"/>
  <c r="K8" i="3"/>
  <c r="G8" i="3"/>
  <c r="F8" i="3"/>
  <c r="E8" i="3"/>
  <c r="H26" i="3"/>
  <c r="K19" i="3"/>
  <c r="G19" i="3"/>
  <c r="F19" i="3"/>
  <c r="E19" i="3"/>
  <c r="K18" i="3"/>
  <c r="G18" i="3"/>
  <c r="F18" i="3"/>
  <c r="E18" i="3"/>
  <c r="G17" i="3"/>
  <c r="F17" i="3"/>
  <c r="E17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6" i="3"/>
  <c r="E6" i="3"/>
  <c r="K15" i="3"/>
  <c r="K14" i="3"/>
  <c r="K13" i="3"/>
  <c r="K12" i="3"/>
  <c r="K11" i="3"/>
  <c r="D13" i="5"/>
  <c r="D12" i="5"/>
  <c r="D11" i="5"/>
  <c r="D10" i="5"/>
  <c r="D9" i="5"/>
  <c r="D8" i="5"/>
  <c r="D7" i="5"/>
  <c r="D6" i="5"/>
  <c r="L10" i="3" l="1"/>
  <c r="L5" i="3"/>
  <c r="L9" i="3"/>
  <c r="D22" i="5"/>
  <c r="L7" i="3"/>
  <c r="L8" i="3"/>
  <c r="L11" i="3"/>
  <c r="L19" i="3"/>
  <c r="L18" i="3"/>
  <c r="L15" i="3"/>
  <c r="L14" i="3"/>
  <c r="L13" i="3"/>
  <c r="L12" i="3"/>
  <c r="L69" i="3"/>
  <c r="F65" i="3"/>
  <c r="G54" i="3"/>
  <c r="L30" i="3"/>
  <c r="K26" i="3"/>
  <c r="L26" i="3" s="1"/>
  <c r="K24" i="3"/>
  <c r="L24" i="3" s="1"/>
  <c r="K17" i="3"/>
  <c r="L17" i="3" s="1"/>
  <c r="K6" i="3"/>
  <c r="L6" i="3" s="1"/>
  <c r="D10" i="2"/>
  <c r="D9" i="2"/>
  <c r="D6" i="2"/>
  <c r="D5" i="2"/>
  <c r="D4" i="2"/>
  <c r="D3" i="2"/>
  <c r="F78" i="3" l="1"/>
  <c r="L78" i="3" s="1"/>
  <c r="L79" i="3" s="1"/>
  <c r="D33" i="2"/>
  <c r="I38" i="1"/>
  <c r="I40" i="1"/>
  <c r="I41" i="1"/>
  <c r="I43" i="1"/>
  <c r="I45" i="1"/>
  <c r="I46" i="1"/>
  <c r="I29" i="1"/>
  <c r="I28" i="1"/>
  <c r="I25" i="1"/>
  <c r="I24" i="1"/>
  <c r="I16" i="1"/>
  <c r="I15" i="1"/>
  <c r="I13" i="1"/>
  <c r="I12" i="1"/>
  <c r="I8" i="1"/>
  <c r="I9" i="1"/>
  <c r="I7" i="1"/>
  <c r="G37" i="1"/>
  <c r="I37" i="1" s="1"/>
  <c r="G36" i="1"/>
  <c r="I36" i="1" s="1"/>
  <c r="I78" i="1" l="1"/>
</calcChain>
</file>

<file path=xl/sharedStrings.xml><?xml version="1.0" encoding="utf-8"?>
<sst xmlns="http://schemas.openxmlformats.org/spreadsheetml/2006/main" count="369" uniqueCount="227">
  <si>
    <t>2.2.2.1</t>
  </si>
  <si>
    <t>ประเภทบทความวิจัย</t>
  </si>
  <si>
    <t>ระดับชาติ</t>
  </si>
  <si>
    <t>ช่วงเวลา</t>
  </si>
  <si>
    <t>ภาระงาน (ชม. /สัปดาห์)</t>
  </si>
  <si>
    <t xml:space="preserve">TCI1 </t>
  </si>
  <si>
    <t xml:space="preserve">TCI2 </t>
  </si>
  <si>
    <t xml:space="preserve">TCI3 และนอกฐาน </t>
  </si>
  <si>
    <t>Proceeding</t>
  </si>
  <si>
    <t>จำนวนบทความ</t>
  </si>
  <si>
    <t>ระดับนานาชาติ</t>
  </si>
  <si>
    <t>Q1&amp;Q2</t>
  </si>
  <si>
    <t>นอกฐาน</t>
  </si>
  <si>
    <t>ชื่อแรกหรือCorrespond</t>
  </si>
  <si>
    <t>ชื่อร่วม</t>
  </si>
  <si>
    <t>นำเสนอผลงานวิชาการ</t>
  </si>
  <si>
    <t>2.2.2.2</t>
  </si>
  <si>
    <t>Oral</t>
  </si>
  <si>
    <t>Poster</t>
  </si>
  <si>
    <t>รายการบทความวิชาการ (เขียนแบบ API, วงเล็บระดับผลงาน)</t>
  </si>
  <si>
    <t>รายการบทความวิชาการ (เขียนแบบ API)</t>
  </si>
  <si>
    <t>2.2.2.3</t>
  </si>
  <si>
    <t>ผลงานวิชาการระดับอื่น</t>
  </si>
  <si>
    <t xml:space="preserve">๓.หนังสือ หรือหนังสือ ที่ผ่านการประเมินจากผู้ทรงคุณวุฒิแล้ว </t>
  </si>
  <si>
    <t>๑.เอกสารประกอบการสอน ที่ผ่านการประเมินแล้ว (๒ /หน่วยกิต)</t>
  </si>
  <si>
    <t>จำนวนหน่วยกิต</t>
  </si>
  <si>
    <t>๒.เอกสารคำสอน ที่ผ่านการประเมินแล้ว (๓ /หน่วยกิต)</t>
  </si>
  <si>
    <t>ภาระงาน/งาน</t>
  </si>
  <si>
    <t>รายการงานวิชาการอื่นๆ</t>
  </si>
  <si>
    <t>ชื่อโครงการ</t>
  </si>
  <si>
    <t>การเขียนขอทุน</t>
  </si>
  <si>
    <t>ประเภททุนวิจัย</t>
  </si>
  <si>
    <t>คณะ</t>
  </si>
  <si>
    <t>หน่วยงานภายนอก</t>
  </si>
  <si>
    <t>นานาชาติ</t>
  </si>
  <si>
    <t>ชม./สัปดาห์</t>
  </si>
  <si>
    <t>คำนวนภาระงาน</t>
  </si>
  <si>
    <t>2. xxxxxxxxxxxxxxxxxxxxxxxxx</t>
  </si>
  <si>
    <t>รวมภาระงานผลงานวิจัยและ ผลงานวิจัยในลักษณะอื่น</t>
  </si>
  <si>
    <t xml:space="preserve">ประเภทงาน </t>
  </si>
  <si>
    <t>ภาระงาน (ชม./สัปดาห์)</t>
  </si>
  <si>
    <t>จำนวนตามหน่วยแต่ละประเภทงาน</t>
  </si>
  <si>
    <t xml:space="preserve">งานทดสอบ งานวิเคราะห์ งานออกแบบ </t>
  </si>
  <si>
    <t>0.5 /งาน หรือเรื่อง หรือ โครงการ</t>
  </si>
  <si>
    <t>เป็นที่ปรึกษา หรือกรรมการให้แก่หน่วยงานภายนอกคณะ หรือภายนอก มหาวิทยาลัย</t>
  </si>
  <si>
    <t>0.5 /คำสั่ง หรือหนังสือ เชิญ</t>
  </si>
  <si>
    <t>เป็นที่ปรึกษางานวิจัย ผู้ทรงคุณวุฒิตรวจสอบผลงานวิจัย (Reviewer) คู่มือ การสอน สื่อการสอนหรืออื่น ๆ</t>
  </si>
  <si>
    <t xml:space="preserve">งานบริการ การใช้เครื่องมือ และอุปกรณ์วิทยาศาสตร์ให้แก่ บุคคลนอกคณะ </t>
  </si>
  <si>
    <t>0.5/คำขอ</t>
  </si>
  <si>
    <t xml:space="preserve">เป็นวิทยากรบรรยายพิเศษที่ไม่ใช่การเป็นอาจารย์พิเศษของหลักสูตรใด </t>
  </si>
  <si>
    <t>บทความทางวิชาการที่เขียนเผยแพร่ในโครงการเผยแพร่วิชาการทาง วิทยุกระจายเสียงของมหาวิทยาลัย หรือของรายการอื่น หรือทางสื่อ online หรือผู้ได้รับเชิญในการแลกเปลี่ยนความรู้ทางวิชาผ่านทางสื่อต่างๆ</t>
  </si>
  <si>
    <t>ผู้เขียนบทความ/แขกรับเชิญ</t>
  </si>
  <si>
    <t>0.25 /บทความ หรือครั้ง</t>
  </si>
  <si>
    <t>ผู้จัด/ผู้ดำเนินรายการ</t>
  </si>
  <si>
    <t xml:space="preserve"> 1 /ครั้ง</t>
  </si>
  <si>
    <t>กรรมการสอบปัญหาพิเศษ วิทยานิพนธ์ และดุษฎีนิพนธ์ ของหน่วยงานนอก คณะ ที่มีเอกสารแต่งตั้งหรือหนังสือเชิญ</t>
  </si>
  <si>
    <t>รวมภาระงานบริการวิชาการ</t>
  </si>
  <si>
    <t>รายการบริการวิชาการที่ทำในปีงบประมาณนี้</t>
  </si>
  <si>
    <t>ปีการศึกษา</t>
  </si>
  <si>
    <t>รหัสวิชา</t>
  </si>
  <si>
    <t>หน่วยกิต</t>
  </si>
  <si>
    <t>จำนวนครั้งที่สอน</t>
  </si>
  <si>
    <t>ผู้ประสานงาน</t>
  </si>
  <si>
    <t>จำนวนนิสิต</t>
  </si>
  <si>
    <t>บรรยาย</t>
  </si>
  <si>
    <t>ปฏิบัติ 2 ชม.</t>
  </si>
  <si>
    <t>ปฏิบัติ 3 ชม.</t>
  </si>
  <si>
    <t>สัดส่วนการสอน</t>
  </si>
  <si>
    <t>ภาระงาน</t>
  </si>
  <si>
    <t>ระดับปริญญาตรี</t>
  </si>
  <si>
    <t>ระดับปริญญาโท</t>
  </si>
  <si>
    <t>จำนวนครั้ง</t>
  </si>
  <si>
    <t>จำนวนนิสิตในที่ปรึกษา</t>
  </si>
  <si>
    <t>ผู้ประสานงาน (เป็นกรอก 1)</t>
  </si>
  <si>
    <t>Seminar in Marine Technology II</t>
  </si>
  <si>
    <t xml:space="preserve">Seminar </t>
  </si>
  <si>
    <t>อาจารย์นิเทศ</t>
  </si>
  <si>
    <t>สำหรับผู้ประสานงาน</t>
  </si>
  <si>
    <t>จำนวนหน่วยงานนิเทศ</t>
  </si>
  <si>
    <t>เป็นผู้ประสานกรอก 1, ไม่เป็นกรอก 0</t>
  </si>
  <si>
    <t>Field Experience</t>
  </si>
  <si>
    <t>2(0-4-2)</t>
  </si>
  <si>
    <t>สำหรับผู้ประสานงาน/ผู้สอน</t>
  </si>
  <si>
    <t>สำหรับอาจารย์ผู้ควบคุมปัญหาพิเศษ</t>
  </si>
  <si>
    <t>รหัสนิสิต</t>
  </si>
  <si>
    <t>ชื่อ นามสกุล</t>
  </si>
  <si>
    <t>กรรมการ (1)</t>
  </si>
  <si>
    <t>รวมปัญหาพิเศษ</t>
  </si>
  <si>
    <t>สำหรับอาจารย์ผู้ควบคุมสหกิจศึกษา</t>
  </si>
  <si>
    <t>รวมสหกิจ</t>
  </si>
  <si>
    <t>ประสานงานรายวิชา</t>
  </si>
  <si>
    <t>ควบคุมวิทยานิพนธ์</t>
  </si>
  <si>
    <t>ชม./สัปดาห์ คิดได้ 3 เทอม</t>
  </si>
  <si>
    <t>คิดตอนสอบได้ครั้งเดียว</t>
  </si>
  <si>
    <t>xx</t>
  </si>
  <si>
    <t>รวมวิทยานิพนธ์</t>
  </si>
  <si>
    <t>รวมภาระงานควบคุมปัญหาพิเศษ, สหกิจศึกษา และวิทยานิพนธ์</t>
  </si>
  <si>
    <t>รวมภาระงานสอน</t>
  </si>
  <si>
    <t xml:space="preserve">งานทำนุบำรุงศิลปะและวัฒนธรรม </t>
  </si>
  <si>
    <t>จำนวนตามหน่วยนับของงาน</t>
  </si>
  <si>
    <t xml:space="preserve">หัวหน้าหรือประธานโครงการทำนุบำรุงศิลปะและวัฒนธรรม </t>
  </si>
  <si>
    <t>๒ /ครั้ง</t>
  </si>
  <si>
    <t>กรรมการ หรือกรรมการและเลขานุการโครงการทำนุบำรุงศิลปะและ วัฒนธรรม</t>
  </si>
  <si>
    <t xml:space="preserve">การเข้าร่วมกิจกรรมด้านทำนุบำรุงศิลปะและวัฒนธรรม </t>
  </si>
  <si>
    <t>๐.๕ /ครั้ง และคิดได้ไม่เกิน ๒ ชม./ ปีงบประมาณ</t>
  </si>
  <si>
    <t>รายการโครงการ/กิจกรรม ช่วงเวลา</t>
  </si>
  <si>
    <t>1. xxxxxxxxxxxxxxxxxxxxxxxxxxxxxx</t>
  </si>
  <si>
    <t>2. xxxxxxxxxxxxxxxxxxxxxxxxxxxxxxxxx</t>
  </si>
  <si>
    <t xml:space="preserve">บทบาท/ตำแหน่ง </t>
  </si>
  <si>
    <t>จำนวนตามหน่วยนับของแต่ละงาน</t>
  </si>
  <si>
    <t xml:space="preserve">๑.รองคณบดี </t>
  </si>
  <si>
    <t>18/ ตำแหน่ง</t>
  </si>
  <si>
    <t>*** ข้อ 1-3 คิดได้ตำแหน่งเดียว</t>
  </si>
  <si>
    <t>13/ ตำแหน่ง</t>
  </si>
  <si>
    <t>๓. เลขานุการคณะกรรมการกิจการนิสิต เลขาการสภาวิชาการ กรรมการสภาอาจารย์ กรรมการประจำคณะ กรรมการสภาวิชาการ ประธานสาขาวิชาที่เปิดสอนภาคปกติ หรือ กรรมการอื่นที่เทียบเท่าที่มีระเบียบสภามหาวิทยาลัย หรือระเบียบข้าราชการพลเรือนใน มหาวิทยาลัย หรือระเบียบของทางราชการอื่นรองรับ</t>
  </si>
  <si>
    <t>9 / ตำแหน่ง</t>
  </si>
  <si>
    <t xml:space="preserve">๔. ผู้รับผิดชอบหลักสูตร </t>
  </si>
  <si>
    <t>5/ ตำแหน่ง</t>
  </si>
  <si>
    <t>๕.กรรมการของคณะ หรือมหาวิทยาลัยที่มีวาระการปฏิบัติงาน หรือกำหนดช่วงเวลาให้ ปฏิบัติงานตั้งแต่ ๖ เดือนขึ้นไป</t>
  </si>
  <si>
    <t>1/ ตำแหน่ง และคิดได้ ไม่เกิน 4</t>
  </si>
  <si>
    <t xml:space="preserve">๖.ทำหน้าที่เป็นหัวหน้าฝ่ายในงานกิจการนิสิตของมหาวิทยาลัย </t>
  </si>
  <si>
    <t>2 /งาน คิด ได้ไม่เกิน 8</t>
  </si>
  <si>
    <t>๗.กรรมการเฉพาะกิจที่ไม่มีระเบียบสภามหาวิทยาลัย หรือระเบียบข้าราชการพลเรือนใน มหาวิทยาลัย หรือระเบียบของทางราชการอื่นรองรับ</t>
  </si>
  <si>
    <t>0.5/คำสั่ง และคิด ได้ไม่เกิน 4</t>
  </si>
  <si>
    <t>๘.กรรมการตรวจสอบคุณภาพการศึกษาภายใน หรือกรรมการประเมินคุณภาพการศึกษา ภายใน</t>
  </si>
  <si>
    <t>2/หน่วยงาน</t>
  </si>
  <si>
    <t>๙.ทำหน้าที่อาจารย์ที่ปรึกษากิจกรรมนิสิต จัดเวลาให้คำแนะนำไม่น้อยกว่า ๒ ชั่วโมงต่อ สัปดาห์ตลอดเทอมการศึกษา</t>
  </si>
  <si>
    <t>1/งาน/ เทอม คิดได้ ไม่เกิน 6</t>
  </si>
  <si>
    <t xml:space="preserve">๑๐.ทำหน้าที่อาจารย์ที่ปรึกษากิจกรรมนิสิตเฉพาะกิจ </t>
  </si>
  <si>
    <t>0.5 /งาน คิด ได้ไม่เกิน 6</t>
  </si>
  <si>
    <t xml:space="preserve">๑๑.อาจารย์ที่ปรึกษาทางวิชาการ (ตามประกาศคณะฯ) </t>
  </si>
  <si>
    <t>3/ตำแหน่ง</t>
  </si>
  <si>
    <t>xxxxxx</t>
  </si>
  <si>
    <t>xxx</t>
  </si>
  <si>
    <t>ชื่อวิชา</t>
  </si>
  <si>
    <t>1(0-2-1)</t>
  </si>
  <si>
    <t>2(2-0-4)</t>
  </si>
  <si>
    <t>2(1-2-3)</t>
  </si>
  <si>
    <t>3(3-0-6)</t>
  </si>
  <si>
    <t>3(2-3-6)</t>
  </si>
  <si>
    <t>สอนคนเดียว=15</t>
  </si>
  <si>
    <t>จำนวนนิสิตที่ลงทะเบียน</t>
  </si>
  <si>
    <t>ผู้ประสาน= 1/จำนวนผู้ประสาน, ผู้สอน= 0</t>
  </si>
  <si>
    <t>รวมทุกหลักสูตรหากสอนร่วมกัน</t>
  </si>
  <si>
    <t>จำนวนครั้งบรรยาย</t>
  </si>
  <si>
    <t>สัดส่วนกรรมการ</t>
  </si>
  <si>
    <t>ผูกสูตร</t>
  </si>
  <si>
    <t>กรรมการประเมิน (สอบ 2 ครั้ง)</t>
  </si>
  <si>
    <t>วิชาที่มีลักษณะพิเศษ: ฝึกงาน</t>
  </si>
  <si>
    <t>วิชาที่มีลักษณะพิเศษ:ปัญหาพิเศษ</t>
  </si>
  <si>
    <t>ที่ปรึกษา (4), ที่ปรึกษาร่วม (2), กรรมการ (1)</t>
  </si>
  <si>
    <t>xxxxxxxx</t>
  </si>
  <si>
    <t>วิชาที่มีลักษณะพิเศษ: สหกิจศึกษา</t>
  </si>
  <si>
    <t>ที่ปรึกษาร่วม (2), กรรมการ (1)</t>
  </si>
  <si>
    <t>ที่ปรึกษา (4), ปรึกษาร่วม (1)</t>
  </si>
  <si>
    <t>Q3</t>
  </si>
  <si>
    <t>Q4</t>
  </si>
  <si>
    <t>ยื่นจด</t>
  </si>
  <si>
    <t>ได้รับ</t>
  </si>
  <si>
    <t>ทำสัญญารับทุน</t>
  </si>
  <si>
    <t>เงินส่วนตัว</t>
  </si>
  <si>
    <t>การส่งรายงานฉบับสมบูรณ์</t>
  </si>
  <si>
    <r>
      <t xml:space="preserve">1/เวลาบรรยาย </t>
    </r>
    <r>
      <rPr>
        <sz val="16"/>
        <color rgb="FFFF0000"/>
        <rFont val="TH Sarabun New"/>
        <family val="2"/>
      </rPr>
      <t>3 ชม</t>
    </r>
  </si>
  <si>
    <t>โครงการบริการวิชาการที่ไม่สร้างรายได้</t>
  </si>
  <si>
    <t>โครงการบริการวิชาการที่สร้างรายได้</t>
  </si>
  <si>
    <t>&lt;,=50000</t>
  </si>
  <si>
    <t>50001-100000</t>
  </si>
  <si>
    <t>100001-500000</t>
  </si>
  <si>
    <t>&gt;500000</t>
  </si>
  <si>
    <t xml:space="preserve"> ประธาน (ภาระงาน/โครงการ)</t>
  </si>
  <si>
    <t xml:space="preserve"> กรรมการ (ภาระงาน/โครงการ)</t>
  </si>
  <si>
    <t>67/2</t>
  </si>
  <si>
    <t>68/1</t>
  </si>
  <si>
    <t>จำนวนครั้งเข้าประเมินสัมมนา (ไทย 6 ครั้ง, อังกฤษ 5 ครั้ง) รวม 11</t>
  </si>
  <si>
    <t>ผู้ประสานงาน (เป็นกรอก 1 ไม่เป็น กรอก 0)</t>
  </si>
  <si>
    <t>คิดภาระงานที่ปรึกษา ในรอบนี้เป็นเทอมที่</t>
  </si>
  <si>
    <t>วิชาที่มีลักษณะพิเศษ:วิทยานิพนธ์</t>
  </si>
  <si>
    <t>๔. สื่อการสอนแบบ BUU MOOC ที่ (ระยะเวลาทั้งหมดที่ผู้เรียนใช้ในการเรียนรายวิชา, ๑/๑ ชม.เรียนรู้)</t>
  </si>
  <si>
    <t>๕.งานวิชาการอื่น ๆ ตามประกาศ กพอ.</t>
  </si>
  <si>
    <t xml:space="preserve">๕.๑ สิทธิบัตร </t>
  </si>
  <si>
    <t xml:space="preserve">๕.๒ อนุสิทธิบัตร </t>
  </si>
  <si>
    <t xml:space="preserve">๕.๓ ซอฟแวร์ </t>
  </si>
  <si>
    <t xml:space="preserve">๕.๔ ผลงานอื่นๆ ที่มีหลักฐานการเผยแพร่ตามประกาศของ กพอ. </t>
  </si>
  <si>
    <t>๑.xxxxx</t>
  </si>
  <si>
    <t>๒.XXXXXXXXXXXXX</t>
  </si>
  <si>
    <t>จำนวนหน่วยกิต/ชม.เรียนรู้</t>
  </si>
  <si>
    <t>สัดส่วนการปฏิบัติงาน (เต็ม 1)</t>
  </si>
  <si>
    <t>1. xxxxx</t>
  </si>
  <si>
    <t xml:space="preserve">2.2.4.1 </t>
  </si>
  <si>
    <t>2.2.4.2</t>
  </si>
  <si>
    <t>2.2.4.3</t>
  </si>
  <si>
    <t xml:space="preserve">สื่อ online ที่เผยแพร่ความรู้โดยต้องมี #Marine Technology, #BUUMT, #คณะเทคโนโลยีทางทะเล และ #มอบูจันท์ </t>
  </si>
  <si>
    <t>0.25 /บทความ แต่ไม่เกิน 3 ภาระงาน</t>
  </si>
  <si>
    <t>มีใน e-project และรายงานส่งคณบดี</t>
  </si>
  <si>
    <t xml:space="preserve"> ประธาน (ภาระงาน/โครงการ) 3/โครงการ</t>
  </si>
  <si>
    <t xml:space="preserve"> กรรมการ (ภาระงาน/โครงการ) 1.5/โครงการ</t>
  </si>
  <si>
    <t>วิทยานิพนธ์ และดุษฎีนิพนธ์ (1/เรื่อง)</t>
  </si>
  <si>
    <t>ปัญหาพิเศษ (0.5/เรื่อง)</t>
  </si>
  <si>
    <t xml:space="preserve">๒. ผู้ช่วยคณบดี รองประธานสภาอาจารย์ เลขาธิการสภาอาจารย์ </t>
  </si>
  <si>
    <t xml:space="preserve"> (***กรุณาเปลี่ยนแปลงข้อมูลเฉพาะตัวเลขที่ font สีแดงค่ะ)</t>
  </si>
  <si>
    <t>รวมปริมาณงานด้านบริหาร กิจการนิสิต และบำรุงศิลปะวัฒนธรรม</t>
  </si>
  <si>
    <t>3. xxxxxxxxxxxxxxxxxxxxxxxxxxxxxxxxx</t>
  </si>
  <si>
    <r>
      <t xml:space="preserve">2. ตารางสรุปผลงานวิจัยและ ผลงานวิจัยในลักษณะอื่น </t>
    </r>
    <r>
      <rPr>
        <b/>
        <sz val="16"/>
        <color rgb="FFFF0000"/>
        <rFont val="TH Sarabun New"/>
        <family val="2"/>
      </rPr>
      <t xml:space="preserve"> (***กรุณาเปลี่ยนแปลงข้อมูลเฉพาะตัวเลขที่ font สีแดงค่ะ)</t>
    </r>
  </si>
  <si>
    <t xml:space="preserve">83138164	</t>
  </si>
  <si>
    <t xml:space="preserve">	Environmental Science</t>
  </si>
  <si>
    <t xml:space="preserve">	
89530664</t>
  </si>
  <si>
    <r>
      <t xml:space="preserve">1.Panithanarak, T., Karuwanjaroen, R., Utama, C., </t>
    </r>
    <r>
      <rPr>
        <b/>
        <sz val="16"/>
        <rFont val="TH Sarabun New"/>
        <family val="2"/>
      </rPr>
      <t>Laongmanee, P</t>
    </r>
    <r>
      <rPr>
        <sz val="16"/>
        <rFont val="TH Sarabun New"/>
        <family val="2"/>
      </rPr>
      <t>., Meejan, T., Senanan, W., Klangnurak, W., Khudamrongsawat, J., &amp; Krajangdara, T. (2025). Resolving species identification and distribution patterns of Neotrygon spp. in Thai waters: Inefficiency of morphometric analysis and the power of COI gene barcoding and phylogenetics. Journal of Fisheries and Environment, 49(1), 154-163. (วารสารทางวิชาการในฐานข้อมูลระดับนานาชาติ Scopus, http://www.info.scopus.com)</t>
    </r>
  </si>
  <si>
    <r>
      <t xml:space="preserve">2. วศิน เสนะโกวร, ลลิตา ปัจฉิม, ธนบรรณ ตะทวี และ </t>
    </r>
    <r>
      <rPr>
        <b/>
        <sz val="16"/>
        <rFont val="TH Sarabun New"/>
        <family val="2"/>
      </rPr>
      <t>เพ็ญจันทร์ ละอองมณี</t>
    </r>
    <r>
      <rPr>
        <sz val="16"/>
        <rFont val="TH Sarabun New"/>
        <family val="2"/>
      </rPr>
      <t xml:space="preserve"> * (2568). ประเภทและปริมาณขยะทะเล บริเวณแนวปะการังหาดเจ้าหลาว จังหวัดจันทบุรี. รายงานสืบเนื่องจากการประชุมวิชาการวิทยาศาสตร์ทางทะเล ครั้งที่ 8 SCIENCE, TECHNOLOGY AND INNOVATION FOR A CHANGING SEA 
วันที่ 25 – 27 มิถุนายน 2568 ณ โรงแรมเรือรัษฎา จังหวัดตรัง ( ระดับ Proceeding ) BP-61 หน้า 1-6 </t>
    </r>
  </si>
  <si>
    <t>๑ /ครั้ง และคิดได้ไม่เกิน ๖ ชม./ ปีงบประมาณ</t>
  </si>
  <si>
    <r>
      <t xml:space="preserve">1. ตารางสรุปภาระการสอน เทอม 2 ปีการศึกษา 2568 - เทอม 1 ปีการศึกษา 2569 </t>
    </r>
    <r>
      <rPr>
        <b/>
        <sz val="16"/>
        <color rgb="FFFF0000"/>
        <rFont val="TH Sarabun New"/>
        <family val="2"/>
      </rPr>
      <t>(***กรุณาเปลี่ยนแปลงข้อมูลเฉพาะตัวอักษร และตัวเลขที่ font สีแดงค่ะ)</t>
    </r>
  </si>
  <si>
    <t>68/2</t>
  </si>
  <si>
    <t>69/1</t>
  </si>
  <si>
    <t>ผูกสูตรไว้แล้ว (ห้ามพิมพ์)</t>
  </si>
  <si>
    <t>เลือกจาก Drop down</t>
  </si>
  <si>
    <t xml:space="preserve">	</t>
  </si>
  <si>
    <t>ภาระงาน (Drop  down)</t>
  </si>
  <si>
    <t>วิชาที่มีลักษณะพิเศษ: สัมมนา 2</t>
  </si>
  <si>
    <t>ระดับปริญญาตรี ยกเว้นวิชา สัมมนา2 , ฝึกงาน,ปัญหาพิเศษ และ สหกิจ</t>
  </si>
  <si>
    <t>1 กันยายน 2568 - 31 สิงหาคม 2569</t>
  </si>
  <si>
    <r>
      <t xml:space="preserve">3. ตารางสรุปภาระงานบริการวิชาการ  </t>
    </r>
    <r>
      <rPr>
        <b/>
        <sz val="16"/>
        <color rgb="FFFF0000"/>
        <rFont val="TH Sarabun New"/>
        <family val="2"/>
      </rPr>
      <t>(***กรุณาเปลี่ยนแปลงข้อมูลเฉพาะตัวเลขที่ font สีแดงค่ะ)</t>
    </r>
    <r>
      <rPr>
        <b/>
        <sz val="16"/>
        <color theme="1"/>
        <rFont val="TH Sarabun New"/>
        <family val="2"/>
      </rPr>
      <t xml:space="preserve"> รอบการประเมิน ตั้งแต่วันที่ ๑ กันยายน พ.ศ. ๒๕๖๘ ถึงวันที่ ๓๑ สิงหาคม พ.ศ. ๒๕๖๙</t>
    </r>
  </si>
  <si>
    <t xml:space="preserve">1. โครงการ </t>
  </si>
  <si>
    <t>2.โครงการ</t>
  </si>
  <si>
    <t>3.  โครงการ</t>
  </si>
  <si>
    <t>4.  กิจกรรม</t>
  </si>
  <si>
    <t>5.กิจกรรม</t>
  </si>
  <si>
    <t xml:space="preserve">1. 
</t>
  </si>
  <si>
    <r>
      <t xml:space="preserve">4. ปริมาณงานด้านบริหาร กิจการนิสิต และทำนุบำรุงศิลปะวัฒนธรรม  </t>
    </r>
    <r>
      <rPr>
        <b/>
        <sz val="16"/>
        <color rgb="FFFF0000"/>
        <rFont val="TH Sarabun New"/>
        <family val="2"/>
      </rPr>
      <t>(***กรุณาเปลี่ยนแปลงข้อมูลเฉพาะตัวเลขที่ font สีแดงค่ะ)</t>
    </r>
    <r>
      <rPr>
        <b/>
        <sz val="16"/>
        <color theme="1"/>
        <rFont val="TH Sarabun New"/>
        <family val="2"/>
      </rPr>
      <t xml:space="preserve"> รอบการประเมิน ตั้งแต่วันที่ ๑ กันยายน พ.ศ. ๒๕๖๘ ถึงวันที่ ๓๑ สิงหาคม ๒๕๖๙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</si>
</sst>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19" x14ac:knownFonts="1"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8"/>
      <name val="Calibri"/>
      <family val="2"/>
      <scheme val="minor"/>
    </font>
    <font>
      <sz val="14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b/>
      <sz val="16"/>
      <name val="TH Sarabun New"/>
      <family val="2"/>
    </font>
    <font>
      <b/>
      <sz val="14"/>
      <color theme="1" tint="4.9989318521683403E-2"/>
      <name val="TH Sarabun New"/>
      <family val="2"/>
    </font>
    <font>
      <sz val="14"/>
      <color theme="1" tint="4.9989318521683403E-2"/>
      <name val="TH Sarabun New"/>
      <family val="2"/>
    </font>
    <font>
      <sz val="16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rgb="FFFF0000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rgb="FFFF0000"/>
      </left>
      <right style="thin">
        <color rgb="FFFF0000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rgb="FFFF0000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rgb="FFFF0000"/>
      </right>
      <top/>
      <bottom style="thin">
        <color theme="1" tint="4.9989318521683403E-2"/>
      </bottom>
      <diagonal/>
    </border>
    <border>
      <left style="thin">
        <color rgb="FFFF0000"/>
      </left>
      <right style="thin">
        <color rgb="FFFF0000"/>
      </right>
      <top/>
      <bottom style="thin">
        <color theme="1" tint="4.9989318521683403E-2"/>
      </bottom>
      <diagonal/>
    </border>
    <border>
      <left style="thin">
        <color rgb="FFFF0000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theme="1" tint="4.9989318521683403E-2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1" fillId="4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4" borderId="3" xfId="0" applyFont="1" applyFill="1" applyBorder="1"/>
    <xf numFmtId="0" fontId="1" fillId="0" borderId="5" xfId="0" applyFont="1" applyBorder="1"/>
    <xf numFmtId="0" fontId="3" fillId="0" borderId="0" xfId="0" applyFont="1"/>
    <xf numFmtId="0" fontId="3" fillId="2" borderId="0" xfId="0" applyFont="1" applyFill="1"/>
    <xf numFmtId="0" fontId="3" fillId="3" borderId="2" xfId="0" applyFont="1" applyFill="1" applyBorder="1"/>
    <xf numFmtId="0" fontId="3" fillId="0" borderId="0" xfId="0" applyFont="1" applyAlignment="1">
      <alignment wrapText="1"/>
    </xf>
    <xf numFmtId="0" fontId="3" fillId="5" borderId="0" xfId="0" applyFont="1" applyFill="1"/>
    <xf numFmtId="0" fontId="3" fillId="5" borderId="0" xfId="0" applyFont="1" applyFill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6" borderId="0" xfId="0" applyFont="1" applyFill="1"/>
    <xf numFmtId="0" fontId="3" fillId="5" borderId="7" xfId="0" applyFont="1" applyFill="1" applyBorder="1"/>
    <xf numFmtId="0" fontId="3" fillId="0" borderId="7" xfId="0" applyFont="1" applyBorder="1"/>
    <xf numFmtId="0" fontId="3" fillId="0" borderId="8" xfId="0" applyFont="1" applyBorder="1" applyAlignment="1">
      <alignment horizontal="center" wrapText="1"/>
    </xf>
    <xf numFmtId="0" fontId="3" fillId="7" borderId="8" xfId="0" applyFont="1" applyFill="1" applyBorder="1"/>
    <xf numFmtId="0" fontId="3" fillId="7" borderId="8" xfId="0" applyFont="1" applyFill="1" applyBorder="1" applyAlignment="1">
      <alignment wrapText="1"/>
    </xf>
    <xf numFmtId="0" fontId="3" fillId="3" borderId="5" xfId="0" applyFont="1" applyFill="1" applyBorder="1"/>
    <xf numFmtId="0" fontId="3" fillId="6" borderId="5" xfId="0" applyFont="1" applyFill="1" applyBorder="1"/>
    <xf numFmtId="0" fontId="3" fillId="2" borderId="5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5" fillId="2" borderId="6" xfId="0" applyFont="1" applyFill="1" applyBorder="1"/>
    <xf numFmtId="0" fontId="3" fillId="0" borderId="14" xfId="0" applyFont="1" applyBorder="1"/>
    <xf numFmtId="0" fontId="3" fillId="6" borderId="0" xfId="0" applyFont="1" applyFill="1" applyAlignment="1">
      <alignment wrapText="1"/>
    </xf>
    <xf numFmtId="0" fontId="3" fillId="0" borderId="15" xfId="0" applyFont="1" applyBorder="1"/>
    <xf numFmtId="0" fontId="3" fillId="6" borderId="16" xfId="0" applyFont="1" applyFill="1" applyBorder="1"/>
    <xf numFmtId="0" fontId="3" fillId="6" borderId="17" xfId="0" applyFont="1" applyFill="1" applyBorder="1"/>
    <xf numFmtId="0" fontId="5" fillId="2" borderId="0" xfId="0" applyFont="1" applyFill="1"/>
    <xf numFmtId="0" fontId="3" fillId="7" borderId="18" xfId="0" applyFont="1" applyFill="1" applyBorder="1"/>
    <xf numFmtId="0" fontId="3" fillId="7" borderId="18" xfId="0" applyFont="1" applyFill="1" applyBorder="1" applyAlignment="1">
      <alignment wrapText="1"/>
    </xf>
    <xf numFmtId="0" fontId="3" fillId="6" borderId="19" xfId="0" applyFont="1" applyFill="1" applyBorder="1"/>
    <xf numFmtId="0" fontId="3" fillId="0" borderId="23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8" xfId="0" applyFont="1" applyBorder="1"/>
    <xf numFmtId="0" fontId="3" fillId="0" borderId="24" xfId="0" applyFont="1" applyBorder="1"/>
    <xf numFmtId="0" fontId="3" fillId="0" borderId="7" xfId="0" applyFont="1" applyBorder="1" applyAlignment="1">
      <alignment wrapText="1"/>
    </xf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4" xfId="0" applyFont="1" applyBorder="1"/>
    <xf numFmtId="0" fontId="4" fillId="7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wrapText="1"/>
    </xf>
    <xf numFmtId="0" fontId="5" fillId="3" borderId="7" xfId="0" applyFont="1" applyFill="1" applyBorder="1"/>
    <xf numFmtId="0" fontId="1" fillId="0" borderId="28" xfId="0" applyFont="1" applyBorder="1"/>
    <xf numFmtId="0" fontId="1" fillId="4" borderId="28" xfId="0" applyFont="1" applyFill="1" applyBorder="1"/>
    <xf numFmtId="0" fontId="2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0" fontId="2" fillId="4" borderId="29" xfId="0" applyFont="1" applyFill="1" applyBorder="1" applyAlignment="1">
      <alignment horizontal="center"/>
    </xf>
    <xf numFmtId="0" fontId="1" fillId="8" borderId="2" xfId="0" applyFont="1" applyFill="1" applyBorder="1"/>
    <xf numFmtId="164" fontId="1" fillId="0" borderId="2" xfId="0" applyNumberFormat="1" applyFont="1" applyBorder="1"/>
    <xf numFmtId="0" fontId="1" fillId="8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4" borderId="2" xfId="0" applyFont="1" applyFill="1" applyBorder="1"/>
    <xf numFmtId="0" fontId="1" fillId="0" borderId="2" xfId="0" applyFont="1" applyBorder="1"/>
    <xf numFmtId="0" fontId="2" fillId="0" borderId="4" xfId="0" applyFont="1" applyBorder="1"/>
    <xf numFmtId="0" fontId="3" fillId="3" borderId="7" xfId="0" applyFont="1" applyFill="1" applyBorder="1"/>
    <xf numFmtId="0" fontId="5" fillId="3" borderId="7" xfId="0" applyFont="1" applyFill="1" applyBorder="1" applyAlignment="1">
      <alignment wrapText="1"/>
    </xf>
    <xf numFmtId="0" fontId="7" fillId="9" borderId="7" xfId="0" applyFont="1" applyFill="1" applyBorder="1"/>
    <xf numFmtId="0" fontId="3" fillId="2" borderId="2" xfId="0" applyFont="1" applyFill="1" applyBorder="1"/>
    <xf numFmtId="0" fontId="1" fillId="0" borderId="0" xfId="0" applyFont="1" applyAlignment="1">
      <alignment horizontal="left" wrapText="1"/>
    </xf>
    <xf numFmtId="0" fontId="8" fillId="0" borderId="2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5" fillId="3" borderId="9" xfId="0" applyFont="1" applyFill="1" applyBorder="1"/>
    <xf numFmtId="0" fontId="9" fillId="2" borderId="6" xfId="0" applyFont="1" applyFill="1" applyBorder="1"/>
    <xf numFmtId="0" fontId="9" fillId="2" borderId="2" xfId="0" applyFont="1" applyFill="1" applyBorder="1"/>
    <xf numFmtId="0" fontId="5" fillId="3" borderId="5" xfId="0" applyFont="1" applyFill="1" applyBorder="1" applyAlignment="1">
      <alignment horizontal="center"/>
    </xf>
    <xf numFmtId="0" fontId="3" fillId="0" borderId="30" xfId="0" applyFont="1" applyBorder="1"/>
    <xf numFmtId="0" fontId="3" fillId="6" borderId="31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21" xfId="0" applyFont="1" applyFill="1" applyBorder="1"/>
    <xf numFmtId="0" fontId="10" fillId="2" borderId="6" xfId="0" applyFont="1" applyFill="1" applyBorder="1"/>
    <xf numFmtId="0" fontId="1" fillId="0" borderId="2" xfId="0" applyFont="1" applyBorder="1" applyAlignment="1">
      <alignment horizontal="center" wrapText="1"/>
    </xf>
    <xf numFmtId="0" fontId="12" fillId="3" borderId="2" xfId="0" applyFont="1" applyFill="1" applyBorder="1"/>
    <xf numFmtId="0" fontId="2" fillId="2" borderId="0" xfId="0" applyFont="1" applyFill="1"/>
    <xf numFmtId="0" fontId="12" fillId="0" borderId="0" xfId="0" applyFont="1"/>
    <xf numFmtId="0" fontId="13" fillId="2" borderId="0" xfId="0" applyFont="1" applyFill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1" fillId="0" borderId="0" xfId="0" applyFont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4" fillId="0" borderId="0" xfId="0" applyFont="1"/>
    <xf numFmtId="0" fontId="9" fillId="2" borderId="0" xfId="0" applyFont="1" applyFill="1"/>
    <xf numFmtId="0" fontId="5" fillId="0" borderId="0" xfId="0" applyFont="1"/>
    <xf numFmtId="0" fontId="5" fillId="3" borderId="8" xfId="0" applyFont="1" applyFill="1" applyBorder="1"/>
    <xf numFmtId="0" fontId="5" fillId="3" borderId="39" xfId="0" applyFont="1" applyFill="1" applyBorder="1"/>
    <xf numFmtId="0" fontId="12" fillId="3" borderId="0" xfId="0" applyFont="1" applyFill="1"/>
    <xf numFmtId="0" fontId="1" fillId="0" borderId="0" xfId="0" applyFont="1" applyAlignment="1">
      <alignment horizontal="center" wrapText="1"/>
    </xf>
    <xf numFmtId="0" fontId="1" fillId="2" borderId="40" xfId="0" applyFont="1" applyFill="1" applyBorder="1"/>
    <xf numFmtId="0" fontId="1" fillId="0" borderId="8" xfId="0" applyFont="1" applyBorder="1"/>
    <xf numFmtId="0" fontId="12" fillId="3" borderId="8" xfId="0" applyFont="1" applyFill="1" applyBorder="1"/>
    <xf numFmtId="0" fontId="1" fillId="0" borderId="49" xfId="0" applyFont="1" applyBorder="1"/>
    <xf numFmtId="0" fontId="2" fillId="4" borderId="6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2" fillId="0" borderId="51" xfId="0" applyFont="1" applyBorder="1" applyAlignment="1">
      <alignment horizontal="left" wrapText="1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3" fillId="7" borderId="20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42" xfId="0" applyFont="1" applyBorder="1" applyAlignment="1">
      <alignment horizontal="center"/>
    </xf>
    <xf numFmtId="0" fontId="16" fillId="0" borderId="42" xfId="0" applyFont="1" applyBorder="1" applyAlignment="1">
      <alignment horizontal="left" wrapText="1"/>
    </xf>
    <xf numFmtId="0" fontId="16" fillId="0" borderId="42" xfId="0" applyFont="1" applyBorder="1" applyAlignment="1">
      <alignment horizontal="left"/>
    </xf>
    <xf numFmtId="0" fontId="12" fillId="0" borderId="42" xfId="0" applyFont="1" applyBorder="1" applyAlignment="1">
      <alignment horizontal="left" wrapText="1"/>
    </xf>
    <xf numFmtId="0" fontId="16" fillId="0" borderId="52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42" xfId="0" applyFont="1" applyBorder="1" applyAlignment="1">
      <alignment horizontal="center"/>
    </xf>
    <xf numFmtId="164" fontId="12" fillId="0" borderId="4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2" xfId="0" applyFont="1" applyBorder="1" applyAlignment="1">
      <alignment horizontal="left" wrapText="1"/>
    </xf>
    <xf numFmtId="0" fontId="12" fillId="0" borderId="43" xfId="0" applyFont="1" applyBorder="1" applyAlignment="1">
      <alignment horizontal="left" wrapText="1"/>
    </xf>
    <xf numFmtId="0" fontId="12" fillId="0" borderId="44" xfId="0" applyFont="1" applyBorder="1" applyAlignment="1">
      <alignment horizontal="left" wrapText="1"/>
    </xf>
    <xf numFmtId="0" fontId="12" fillId="0" borderId="45" xfId="0" applyFont="1" applyBorder="1" applyAlignment="1">
      <alignment horizontal="left" wrapText="1"/>
    </xf>
    <xf numFmtId="0" fontId="12" fillId="0" borderId="46" xfId="0" applyFont="1" applyBorder="1" applyAlignment="1">
      <alignment horizontal="left" wrapText="1"/>
    </xf>
    <xf numFmtId="0" fontId="12" fillId="0" borderId="47" xfId="0" applyFont="1" applyBorder="1" applyAlignment="1">
      <alignment horizontal="left" wrapText="1"/>
    </xf>
    <xf numFmtId="0" fontId="12" fillId="0" borderId="48" xfId="0" applyFont="1" applyBorder="1" applyAlignment="1">
      <alignment horizontal="left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2" fillId="0" borderId="50" xfId="0" applyFont="1" applyBorder="1" applyAlignment="1">
      <alignment horizontal="left" wrapText="1"/>
    </xf>
    <xf numFmtId="0" fontId="17" fillId="0" borderId="7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wrapText="1"/>
    </xf>
    <xf numFmtId="0" fontId="14" fillId="3" borderId="10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/>
    <xf numFmtId="0" fontId="9" fillId="3" borderId="2" xfId="0" applyFont="1" applyFill="1" applyBorder="1" applyAlignment="1">
      <alignment horizontal="center" wrapText="1"/>
    </xf>
    <xf numFmtId="0" fontId="9" fillId="10" borderId="12" xfId="0" applyFont="1" applyFill="1" applyBorder="1" applyAlignment="1">
      <alignment horizontal="center"/>
    </xf>
    <xf numFmtId="0" fontId="9" fillId="10" borderId="50" xfId="0" applyFont="1" applyFill="1" applyBorder="1" applyAlignment="1">
      <alignment horizontal="center"/>
    </xf>
    <xf numFmtId="0" fontId="9" fillId="10" borderId="5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11" borderId="19" xfId="0" applyFont="1" applyFill="1" applyBorder="1" applyAlignment="1">
      <alignment horizontal="center"/>
    </xf>
    <xf numFmtId="0" fontId="9" fillId="11" borderId="0" xfId="0" applyFont="1" applyFill="1" applyBorder="1" applyAlignment="1">
      <alignment horizontal="center"/>
    </xf>
    <xf numFmtId="0" fontId="9" fillId="11" borderId="12" xfId="0" applyFont="1" applyFill="1" applyBorder="1" applyAlignment="1">
      <alignment horizontal="center"/>
    </xf>
    <xf numFmtId="0" fontId="9" fillId="11" borderId="5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wrapText="1"/>
    </xf>
    <xf numFmtId="0" fontId="3" fillId="3" borderId="54" xfId="0" applyFont="1" applyFill="1" applyBorder="1"/>
    <xf numFmtId="0" fontId="9" fillId="2" borderId="55" xfId="0" applyFont="1" applyFill="1" applyBorder="1"/>
    <xf numFmtId="0" fontId="3" fillId="2" borderId="56" xfId="0" applyFont="1" applyFill="1" applyBorder="1"/>
    <xf numFmtId="0" fontId="3" fillId="2" borderId="57" xfId="0" applyFont="1" applyFill="1" applyBorder="1" applyAlignment="1">
      <alignment horizontal="left"/>
    </xf>
    <xf numFmtId="0" fontId="5" fillId="3" borderId="58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0EFA-9D28-4EF6-B65C-9E81A1245ECA}">
  <dimension ref="A1:N79"/>
  <sheetViews>
    <sheetView tabSelected="1" topLeftCell="A3" zoomScale="104" workbookViewId="0">
      <selection activeCell="C14" sqref="C14"/>
    </sheetView>
  </sheetViews>
  <sheetFormatPr defaultColWidth="8.88671875" defaultRowHeight="21" x14ac:dyDescent="0.6"/>
  <cols>
    <col min="1" max="1" width="8.88671875" style="10"/>
    <col min="2" max="2" width="10.109375" style="10" customWidth="1"/>
    <col min="3" max="3" width="20.21875" style="10" customWidth="1"/>
    <col min="4" max="4" width="8.33203125" style="10" customWidth="1"/>
    <col min="5" max="5" width="12.44140625" style="10" customWidth="1"/>
    <col min="6" max="6" width="11.5546875" style="10" customWidth="1"/>
    <col min="7" max="7" width="10.5546875" style="10" customWidth="1"/>
    <col min="8" max="8" width="13.33203125" style="10" customWidth="1"/>
    <col min="9" max="9" width="16.109375" style="10" customWidth="1"/>
    <col min="10" max="10" width="12.109375" style="10" customWidth="1"/>
    <col min="11" max="11" width="13.88671875" style="11" customWidth="1"/>
    <col min="12" max="12" width="12.88671875" style="11" customWidth="1"/>
    <col min="13" max="16384" width="8.88671875" style="10"/>
  </cols>
  <sheetData>
    <row r="1" spans="1:14" ht="24.6" x14ac:dyDescent="0.7">
      <c r="A1" s="2" t="s">
        <v>209</v>
      </c>
      <c r="K1" s="19"/>
      <c r="L1" s="19"/>
    </row>
    <row r="2" spans="1:14" x14ac:dyDescent="0.6">
      <c r="A2" s="174" t="s">
        <v>58</v>
      </c>
      <c r="B2" s="174" t="s">
        <v>59</v>
      </c>
      <c r="C2" s="174" t="s">
        <v>134</v>
      </c>
      <c r="D2" s="174" t="s">
        <v>60</v>
      </c>
      <c r="E2" s="183" t="s">
        <v>212</v>
      </c>
      <c r="F2" s="184"/>
      <c r="G2" s="185"/>
      <c r="H2" s="179" t="s">
        <v>61</v>
      </c>
      <c r="I2" s="180" t="s">
        <v>62</v>
      </c>
      <c r="J2" s="180" t="s">
        <v>63</v>
      </c>
      <c r="K2" s="187" t="s">
        <v>212</v>
      </c>
      <c r="L2" s="188"/>
    </row>
    <row r="3" spans="1:14" x14ac:dyDescent="0.6">
      <c r="A3" s="174"/>
      <c r="B3" s="174"/>
      <c r="C3" s="174"/>
      <c r="D3" s="174"/>
      <c r="E3" s="132" t="s">
        <v>25</v>
      </c>
      <c r="F3" s="132"/>
      <c r="G3" s="132"/>
      <c r="H3" s="181"/>
      <c r="I3" s="180"/>
      <c r="J3" s="180"/>
      <c r="K3" s="189"/>
      <c r="L3" s="190"/>
    </row>
    <row r="4" spans="1:14" ht="63.6" customHeight="1" x14ac:dyDescent="0.6">
      <c r="A4" s="175" t="s">
        <v>217</v>
      </c>
      <c r="B4" s="176"/>
      <c r="C4" s="177"/>
      <c r="D4" s="178" t="s">
        <v>213</v>
      </c>
      <c r="E4" s="113" t="s">
        <v>64</v>
      </c>
      <c r="F4" s="113" t="s">
        <v>65</v>
      </c>
      <c r="G4" s="113" t="s">
        <v>66</v>
      </c>
      <c r="H4" s="182" t="s">
        <v>140</v>
      </c>
      <c r="I4" s="182" t="s">
        <v>142</v>
      </c>
      <c r="J4" s="182" t="s">
        <v>143</v>
      </c>
      <c r="K4" s="186" t="s">
        <v>67</v>
      </c>
      <c r="L4" s="186" t="s">
        <v>68</v>
      </c>
    </row>
    <row r="5" spans="1:14" ht="42" x14ac:dyDescent="0.6">
      <c r="A5" s="51" t="s">
        <v>210</v>
      </c>
      <c r="B5" s="111" t="s">
        <v>205</v>
      </c>
      <c r="C5" s="51" t="s">
        <v>204</v>
      </c>
      <c r="D5" s="51" t="s">
        <v>136</v>
      </c>
      <c r="E5" s="68" t="str">
        <f t="shared" ref="E5:E8" si="0">MID(D5,3,1)</f>
        <v>2</v>
      </c>
      <c r="F5" s="68">
        <f t="shared" ref="F5:F8" si="1">IF((MID(D5,5,1))="2",1,0)</f>
        <v>0</v>
      </c>
      <c r="G5" s="68">
        <f t="shared" ref="G5:G8" si="2">IF((MID(D5,5,1))="3",1,0)</f>
        <v>0</v>
      </c>
      <c r="H5" s="51">
        <v>1</v>
      </c>
      <c r="I5" s="51">
        <v>1</v>
      </c>
      <c r="J5" s="51">
        <v>261</v>
      </c>
      <c r="K5" s="112">
        <f>H5/15</f>
        <v>6.6666666666666666E-2</v>
      </c>
      <c r="L5" s="75">
        <f t="shared" ref="L5:L14" si="3">(K5*((E5*(2+(IF(J5&lt;51,1,J5/50)))+(F5*(3+(IF(J5&lt;31,1,J5/30)))+(G5*(4+((IF(J5&lt;31,1,J5/30)))))))))+I5</f>
        <v>1.9626666666666668</v>
      </c>
    </row>
    <row r="6" spans="1:14" ht="42.45" customHeight="1" x14ac:dyDescent="0.6">
      <c r="A6" s="51" t="s">
        <v>210</v>
      </c>
      <c r="B6" s="111">
        <v>83133264</v>
      </c>
      <c r="C6" s="52" t="s">
        <v>133</v>
      </c>
      <c r="D6" s="51" t="s">
        <v>137</v>
      </c>
      <c r="E6" s="68" t="str">
        <f t="shared" si="0"/>
        <v>1</v>
      </c>
      <c r="F6" s="68">
        <f>IF((MID(D6,5,1))="2",1,0)</f>
        <v>1</v>
      </c>
      <c r="G6" s="68">
        <f t="shared" si="2"/>
        <v>0</v>
      </c>
      <c r="H6" s="51">
        <v>15</v>
      </c>
      <c r="I6" s="51">
        <v>0</v>
      </c>
      <c r="J6" s="51">
        <v>9</v>
      </c>
      <c r="K6" s="69">
        <f t="shared" ref="K6:K15" si="4">H6/15</f>
        <v>1</v>
      </c>
      <c r="L6" s="75">
        <f t="shared" si="3"/>
        <v>7</v>
      </c>
    </row>
    <row r="7" spans="1:14" ht="61.95" customHeight="1" x14ac:dyDescent="0.6">
      <c r="A7" s="51" t="s">
        <v>210</v>
      </c>
      <c r="B7" s="111">
        <v>83028064</v>
      </c>
      <c r="C7" s="52" t="s">
        <v>133</v>
      </c>
      <c r="D7" s="51" t="s">
        <v>137</v>
      </c>
      <c r="E7" s="68" t="str">
        <f t="shared" si="0"/>
        <v>1</v>
      </c>
      <c r="F7" s="68">
        <f t="shared" si="1"/>
        <v>1</v>
      </c>
      <c r="G7" s="68">
        <f t="shared" si="2"/>
        <v>0</v>
      </c>
      <c r="H7" s="51">
        <v>10</v>
      </c>
      <c r="I7" s="51">
        <v>1</v>
      </c>
      <c r="J7" s="51">
        <v>30</v>
      </c>
      <c r="K7" s="69">
        <f t="shared" si="4"/>
        <v>0.66666666666666663</v>
      </c>
      <c r="L7" s="75">
        <f t="shared" si="3"/>
        <v>5.6666666666666661</v>
      </c>
    </row>
    <row r="8" spans="1:14" ht="21.45" customHeight="1" x14ac:dyDescent="0.6">
      <c r="A8" s="51" t="s">
        <v>210</v>
      </c>
      <c r="B8" s="111" t="s">
        <v>203</v>
      </c>
      <c r="C8" s="52" t="s">
        <v>133</v>
      </c>
      <c r="D8" s="51" t="s">
        <v>138</v>
      </c>
      <c r="E8" s="68" t="str">
        <f t="shared" si="0"/>
        <v>3</v>
      </c>
      <c r="F8" s="68">
        <f t="shared" si="1"/>
        <v>0</v>
      </c>
      <c r="G8" s="68">
        <f t="shared" si="2"/>
        <v>0</v>
      </c>
      <c r="H8" s="51">
        <v>15</v>
      </c>
      <c r="I8" s="51">
        <v>0</v>
      </c>
      <c r="J8" s="51">
        <v>28</v>
      </c>
      <c r="K8" s="69">
        <f t="shared" si="4"/>
        <v>1</v>
      </c>
      <c r="L8" s="75">
        <f t="shared" si="3"/>
        <v>9</v>
      </c>
    </row>
    <row r="9" spans="1:14" ht="39" customHeight="1" x14ac:dyDescent="0.6">
      <c r="A9" s="51" t="s">
        <v>210</v>
      </c>
      <c r="B9" s="191">
        <v>89539964</v>
      </c>
      <c r="C9" s="67" t="s">
        <v>133</v>
      </c>
      <c r="D9" s="51" t="s">
        <v>136</v>
      </c>
      <c r="E9" s="68" t="str">
        <f>MID(D9,3,1)</f>
        <v>2</v>
      </c>
      <c r="F9" s="68">
        <f>IF((MID(D9,5,1))="2",1,0)</f>
        <v>0</v>
      </c>
      <c r="G9" s="68">
        <f>IF((MID(D9,5,1))="3",1,0)</f>
        <v>0</v>
      </c>
      <c r="H9" s="53">
        <v>14</v>
      </c>
      <c r="I9" s="51">
        <v>1</v>
      </c>
      <c r="J9" s="53">
        <v>30</v>
      </c>
      <c r="K9" s="69">
        <f>H9/15</f>
        <v>0.93333333333333335</v>
      </c>
      <c r="L9" s="75">
        <f>(K9*((E9*(2+(IF(J9&lt;51,1,J9/50)))+(F9*(3+(IF(J9&lt;31,1,J9/30)))+(G9*(4+((IF(J9&lt;31,1,J9/30)))))))))+I9</f>
        <v>6.6</v>
      </c>
    </row>
    <row r="10" spans="1:14" ht="39" customHeight="1" x14ac:dyDescent="0.6">
      <c r="A10" s="53" t="s">
        <v>211</v>
      </c>
      <c r="B10" s="191">
        <v>83010064</v>
      </c>
      <c r="C10" s="52" t="s">
        <v>133</v>
      </c>
      <c r="D10" s="51" t="s">
        <v>138</v>
      </c>
      <c r="E10" s="68" t="str">
        <f>MID(D10,3,1)</f>
        <v>3</v>
      </c>
      <c r="F10" s="68">
        <f>IF((MID(D10,5,1))="2",1,0)</f>
        <v>0</v>
      </c>
      <c r="G10" s="68">
        <f>IF((MID(D10,5,1))="3",1,0)</f>
        <v>0</v>
      </c>
      <c r="H10" s="51">
        <v>7</v>
      </c>
      <c r="I10" s="51">
        <v>0</v>
      </c>
      <c r="J10" s="51">
        <v>75</v>
      </c>
      <c r="K10" s="69">
        <f>H10/15</f>
        <v>0.46666666666666667</v>
      </c>
      <c r="L10" s="75">
        <f>(K10*((E10*(2+(IF(J10&lt;51,1,J10/50)))+(F10*(3+(IF(J10&lt;31,1,J10/30)))+(G10*(4+((IF(J10&lt;31,1,J10/30)))))))))+I10</f>
        <v>4.9000000000000004</v>
      </c>
      <c r="N10" s="10" t="s">
        <v>214</v>
      </c>
    </row>
    <row r="11" spans="1:14" x14ac:dyDescent="0.6">
      <c r="A11" s="53" t="s">
        <v>211</v>
      </c>
      <c r="B11" s="192">
        <v>83548064</v>
      </c>
      <c r="C11" s="67" t="s">
        <v>133</v>
      </c>
      <c r="D11" s="51" t="s">
        <v>138</v>
      </c>
      <c r="E11" s="68" t="str">
        <f>MID(D11,3,1)</f>
        <v>3</v>
      </c>
      <c r="F11" s="68">
        <f>IF((MID(D11,5,1))="2",1,0)</f>
        <v>0</v>
      </c>
      <c r="G11" s="68">
        <f>IF((MID(D11,5,1))="3",1,0)</f>
        <v>0</v>
      </c>
      <c r="H11" s="53">
        <v>15</v>
      </c>
      <c r="I11" s="51">
        <v>0</v>
      </c>
      <c r="J11" s="53">
        <v>30</v>
      </c>
      <c r="K11" s="69">
        <f t="shared" si="4"/>
        <v>1</v>
      </c>
      <c r="L11" s="75">
        <f t="shared" si="3"/>
        <v>9</v>
      </c>
    </row>
    <row r="12" spans="1:14" x14ac:dyDescent="0.6">
      <c r="A12" s="53" t="s">
        <v>211</v>
      </c>
      <c r="B12" s="193">
        <v>83232264</v>
      </c>
      <c r="C12" s="52" t="s">
        <v>133</v>
      </c>
      <c r="D12" s="51" t="s">
        <v>138</v>
      </c>
      <c r="E12" s="68" t="str">
        <f>MID(D12,3,1)</f>
        <v>3</v>
      </c>
      <c r="F12" s="68">
        <f>IF((MID(D12,5,1))="2",1,0)</f>
        <v>0</v>
      </c>
      <c r="G12" s="68">
        <f>IF((MID(D12,5,1))="3",1,0)</f>
        <v>0</v>
      </c>
      <c r="H12" s="51">
        <v>15</v>
      </c>
      <c r="I12" s="51">
        <v>0</v>
      </c>
      <c r="J12" s="51">
        <v>5</v>
      </c>
      <c r="K12" s="69">
        <f t="shared" si="4"/>
        <v>1</v>
      </c>
      <c r="L12" s="75">
        <f t="shared" si="3"/>
        <v>9</v>
      </c>
    </row>
    <row r="13" spans="1:14" ht="23.55" customHeight="1" x14ac:dyDescent="0.6">
      <c r="A13" s="53" t="s">
        <v>211</v>
      </c>
      <c r="B13" s="193">
        <v>83033264</v>
      </c>
      <c r="C13" s="52" t="s">
        <v>133</v>
      </c>
      <c r="D13" s="51" t="s">
        <v>139</v>
      </c>
      <c r="E13" s="68" t="str">
        <f>MID(D13,3,1)</f>
        <v>2</v>
      </c>
      <c r="F13" s="68">
        <f>IF((MID(D13,5,1))="2",1,0)</f>
        <v>0</v>
      </c>
      <c r="G13" s="68">
        <f>IF((MID(D13,5,1))="3",1,0)</f>
        <v>1</v>
      </c>
      <c r="H13" s="51">
        <v>5</v>
      </c>
      <c r="I13" s="51">
        <v>0</v>
      </c>
      <c r="J13" s="51">
        <v>30</v>
      </c>
      <c r="K13" s="69">
        <f t="shared" si="4"/>
        <v>0.33333333333333331</v>
      </c>
      <c r="L13" s="75">
        <f t="shared" si="3"/>
        <v>3.6666666666666665</v>
      </c>
    </row>
    <row r="14" spans="1:14" ht="37.950000000000003" customHeight="1" x14ac:dyDescent="0.6">
      <c r="A14" s="53" t="s">
        <v>211</v>
      </c>
      <c r="B14" s="193">
        <v>83029064</v>
      </c>
      <c r="C14" s="52" t="s">
        <v>133</v>
      </c>
      <c r="D14" s="51" t="s">
        <v>135</v>
      </c>
      <c r="E14" s="68" t="str">
        <f>MID(D14,3,1)</f>
        <v>0</v>
      </c>
      <c r="F14" s="68">
        <f>IF((MID(D14,5,1))="2",1,0)</f>
        <v>1</v>
      </c>
      <c r="G14" s="68">
        <f>IF((MID(D14,5,1))="3",1,0)</f>
        <v>0</v>
      </c>
      <c r="H14" s="51">
        <v>2</v>
      </c>
      <c r="I14" s="51">
        <v>0.5</v>
      </c>
      <c r="J14" s="51">
        <v>71</v>
      </c>
      <c r="K14" s="69">
        <f t="shared" si="4"/>
        <v>0.13333333333333333</v>
      </c>
      <c r="L14" s="75">
        <f t="shared" si="3"/>
        <v>1.2155555555555555</v>
      </c>
    </row>
    <row r="15" spans="1:14" x14ac:dyDescent="0.6">
      <c r="A15" s="53" t="s">
        <v>211</v>
      </c>
      <c r="B15" s="193">
        <v>83010164</v>
      </c>
      <c r="C15" s="52" t="s">
        <v>133</v>
      </c>
      <c r="D15" s="51" t="s">
        <v>135</v>
      </c>
      <c r="E15" s="68" t="str">
        <f>MID(D15,3,1)</f>
        <v>0</v>
      </c>
      <c r="F15" s="68">
        <f>IF((MID(D15,5,1))="2",1,0)</f>
        <v>1</v>
      </c>
      <c r="G15" s="68">
        <f>IF((MID(D15,5,1))="3",1,0)</f>
        <v>0</v>
      </c>
      <c r="H15" s="51">
        <v>14</v>
      </c>
      <c r="I15" s="51">
        <v>1</v>
      </c>
      <c r="J15" s="51">
        <v>75</v>
      </c>
      <c r="K15" s="69">
        <f t="shared" si="4"/>
        <v>0.93333333333333335</v>
      </c>
      <c r="L15" s="75">
        <f>(K15*((E15*(2+(IF(J15&lt;51,1,J15/50)))+(F15*(3+(IF(J15&lt;31,1,J15/30)))+(G15*(4+((IF(J15&lt;31,1,J15/30)))))))))+I15</f>
        <v>6.1333333333333337</v>
      </c>
    </row>
    <row r="16" spans="1:14" x14ac:dyDescent="0.6">
      <c r="A16" s="93" t="s">
        <v>70</v>
      </c>
      <c r="B16" s="94"/>
      <c r="C16" s="95"/>
      <c r="E16" s="13"/>
      <c r="F16" s="13"/>
      <c r="G16" s="13"/>
      <c r="H16" s="13"/>
      <c r="I16" s="13"/>
      <c r="J16" s="13"/>
      <c r="K16" s="13"/>
      <c r="L16" s="13"/>
    </row>
    <row r="17" spans="1:12" x14ac:dyDescent="0.6">
      <c r="A17" s="66" t="s">
        <v>172</v>
      </c>
      <c r="B17" s="51" t="s">
        <v>132</v>
      </c>
      <c r="C17" s="52" t="s">
        <v>133</v>
      </c>
      <c r="D17" s="51" t="s">
        <v>136</v>
      </c>
      <c r="E17" s="68" t="str">
        <f>MID(D17,3,1)</f>
        <v>2</v>
      </c>
      <c r="F17" s="68">
        <f>IF((MID(D17,5,1))="2",1,0)</f>
        <v>0</v>
      </c>
      <c r="G17" s="68">
        <f>IF((MID(D17,5,1))="3",1,0)</f>
        <v>0</v>
      </c>
      <c r="H17" s="51">
        <v>0</v>
      </c>
      <c r="I17" s="51">
        <v>0</v>
      </c>
      <c r="J17" s="51">
        <v>0</v>
      </c>
      <c r="K17" s="69">
        <f>H17/15</f>
        <v>0</v>
      </c>
      <c r="L17" s="75">
        <f>(K17*((E17*(3+(IF(J17&lt;21,1,J17/20)))+(F17*(4+(IF(J17&lt;11,1,J17/10)))+(G17*(5+((IF(J17&lt;11,1,J17/10)))))))))+I17</f>
        <v>0</v>
      </c>
    </row>
    <row r="18" spans="1:12" x14ac:dyDescent="0.6">
      <c r="A18" s="66" t="s">
        <v>172</v>
      </c>
      <c r="B18" s="51" t="s">
        <v>132</v>
      </c>
      <c r="C18" s="52" t="s">
        <v>133</v>
      </c>
      <c r="D18" s="51" t="s">
        <v>139</v>
      </c>
      <c r="E18" s="68" t="str">
        <f>MID(D18,3,1)</f>
        <v>2</v>
      </c>
      <c r="F18" s="68">
        <f>IF((MID(D18,5,1))="2",1,0)</f>
        <v>0</v>
      </c>
      <c r="G18" s="68">
        <f>IF((MID(D18,5,1))="3",1,0)</f>
        <v>1</v>
      </c>
      <c r="H18" s="51">
        <v>0</v>
      </c>
      <c r="I18" s="51">
        <v>0</v>
      </c>
      <c r="J18" s="51">
        <v>0</v>
      </c>
      <c r="K18" s="69">
        <f>H18/15</f>
        <v>0</v>
      </c>
      <c r="L18" s="75">
        <f>(K18*((E18*(3+(IF(J18&lt;21,1,J18/20)))+(F18*(4+(IF(J18&lt;11,1,J18/10)))+(G18*(5+((IF(J18&lt;11,1,J18/10)))))))))+I18</f>
        <v>0</v>
      </c>
    </row>
    <row r="19" spans="1:12" x14ac:dyDescent="0.6">
      <c r="A19" s="66" t="s">
        <v>172</v>
      </c>
      <c r="B19" s="51" t="s">
        <v>132</v>
      </c>
      <c r="C19" s="52" t="s">
        <v>133</v>
      </c>
      <c r="D19" s="51" t="s">
        <v>138</v>
      </c>
      <c r="E19" s="68" t="str">
        <f>MID(D19,3,1)</f>
        <v>3</v>
      </c>
      <c r="F19" s="68">
        <f>IF((MID(D19,5,1))="2",1,0)</f>
        <v>0</v>
      </c>
      <c r="G19" s="68">
        <f>IF((MID(D19,5,1))="3",1,0)</f>
        <v>0</v>
      </c>
      <c r="H19" s="51">
        <v>0</v>
      </c>
      <c r="I19" s="51">
        <v>0</v>
      </c>
      <c r="J19" s="51">
        <v>0</v>
      </c>
      <c r="K19" s="69">
        <f>H19/15</f>
        <v>0</v>
      </c>
      <c r="L19" s="75">
        <f>(K19*((E19*(3+(IF(J19&lt;21,1,J19/20)))+(F19*(4+(IF(J19&lt;11,1,J19/10)))+(G19*(5+((IF(J19&lt;11,1,J19/10)))))))))+I19</f>
        <v>0</v>
      </c>
    </row>
    <row r="20" spans="1:12" s="14" customFormat="1" ht="4.8" customHeight="1" x14ac:dyDescent="0.6">
      <c r="C20" s="15"/>
    </row>
    <row r="21" spans="1:12" x14ac:dyDescent="0.6">
      <c r="E21" s="134" t="s">
        <v>71</v>
      </c>
      <c r="F21" s="134"/>
      <c r="G21" s="43"/>
      <c r="H21" s="43"/>
    </row>
    <row r="22" spans="1:12" ht="102" customHeight="1" x14ac:dyDescent="0.6">
      <c r="A22" s="135" t="s">
        <v>216</v>
      </c>
      <c r="B22" s="135"/>
      <c r="C22" s="135"/>
      <c r="D22" s="135"/>
      <c r="E22" s="18" t="s">
        <v>144</v>
      </c>
      <c r="F22" s="71" t="s">
        <v>173</v>
      </c>
      <c r="G22" s="18" t="s">
        <v>72</v>
      </c>
      <c r="H22" s="194" t="s">
        <v>145</v>
      </c>
      <c r="I22" s="18" t="s">
        <v>174</v>
      </c>
      <c r="J22" s="18" t="s">
        <v>141</v>
      </c>
      <c r="K22" s="69" t="s">
        <v>67</v>
      </c>
      <c r="L22" s="69" t="s">
        <v>68</v>
      </c>
    </row>
    <row r="23" spans="1:12" x14ac:dyDescent="0.6">
      <c r="A23" s="96" t="s">
        <v>69</v>
      </c>
      <c r="G23" s="13"/>
      <c r="H23" s="195" t="s">
        <v>146</v>
      </c>
      <c r="I23" s="13"/>
    </row>
    <row r="24" spans="1:12" ht="43.5" customHeight="1" x14ac:dyDescent="0.6">
      <c r="A24" s="12" t="s">
        <v>211</v>
      </c>
      <c r="B24" s="12">
        <v>83039164</v>
      </c>
      <c r="C24" s="110" t="s">
        <v>74</v>
      </c>
      <c r="D24" s="12" t="s">
        <v>135</v>
      </c>
      <c r="E24" s="51">
        <v>3</v>
      </c>
      <c r="F24" s="51">
        <v>10</v>
      </c>
      <c r="G24" s="51">
        <v>4</v>
      </c>
      <c r="H24" s="194">
        <f>F24/11</f>
        <v>0.90909090909090906</v>
      </c>
      <c r="I24" s="51">
        <v>1</v>
      </c>
      <c r="J24" s="51">
        <v>47</v>
      </c>
      <c r="K24" s="69">
        <f>E24/15</f>
        <v>0.2</v>
      </c>
      <c r="L24" s="75">
        <f>((K24*(2+(IF(J24&lt;51,1,J24/50)))))+(H24)*(4+IF(J24&lt;31,1,J24/30))+(G24*0.5)+(I24*((IF(J24&lt;31,1,J24/30))))</f>
        <v>9.2272727272727266</v>
      </c>
    </row>
    <row r="25" spans="1:12" ht="63" x14ac:dyDescent="0.6">
      <c r="A25" s="96" t="s">
        <v>70</v>
      </c>
      <c r="E25" s="17" t="s">
        <v>64</v>
      </c>
      <c r="F25" s="72" t="s">
        <v>147</v>
      </c>
      <c r="G25" s="18" t="s">
        <v>72</v>
      </c>
      <c r="H25" s="194" t="s">
        <v>145</v>
      </c>
      <c r="I25" s="18" t="s">
        <v>73</v>
      </c>
      <c r="J25" s="18" t="s">
        <v>141</v>
      </c>
    </row>
    <row r="26" spans="1:12" x14ac:dyDescent="0.6">
      <c r="A26" s="12" t="s">
        <v>210</v>
      </c>
      <c r="B26" s="12"/>
      <c r="C26" s="12" t="s">
        <v>75</v>
      </c>
      <c r="D26" s="12" t="s">
        <v>135</v>
      </c>
      <c r="E26" s="51">
        <v>0</v>
      </c>
      <c r="F26" s="51">
        <v>0</v>
      </c>
      <c r="G26" s="51">
        <v>0</v>
      </c>
      <c r="H26" s="194">
        <f>F26/2</f>
        <v>0</v>
      </c>
      <c r="I26" s="51">
        <v>0</v>
      </c>
      <c r="J26" s="51">
        <v>1</v>
      </c>
      <c r="K26" s="69">
        <f>E26/15</f>
        <v>0</v>
      </c>
      <c r="L26" s="75">
        <f>((K26*(3+(IF(J26&lt;21,1,J26/20)))))+(H26)*(4+IF(J26&lt;11,1,J26/10))+(G26*0.5)+((I26*IF(J26&lt;21,1,J26/20)))</f>
        <v>0</v>
      </c>
    </row>
    <row r="27" spans="1:12" s="14" customFormat="1" ht="6" customHeight="1" x14ac:dyDescent="0.6">
      <c r="F27" s="20"/>
      <c r="G27" s="20"/>
      <c r="H27" s="20"/>
    </row>
    <row r="28" spans="1:12" x14ac:dyDescent="0.6">
      <c r="F28" s="21" t="s">
        <v>76</v>
      </c>
      <c r="G28" s="196" t="s">
        <v>77</v>
      </c>
      <c r="H28" s="196"/>
    </row>
    <row r="29" spans="1:12" ht="61.8" customHeight="1" thickBot="1" x14ac:dyDescent="0.65">
      <c r="A29" s="200" t="s">
        <v>148</v>
      </c>
      <c r="B29" s="201"/>
      <c r="C29" s="202"/>
      <c r="E29" s="13"/>
      <c r="F29" s="22" t="s">
        <v>78</v>
      </c>
      <c r="G29" s="197" t="s">
        <v>63</v>
      </c>
      <c r="H29" s="198" t="s">
        <v>79</v>
      </c>
    </row>
    <row r="30" spans="1:12" ht="21.6" thickBot="1" x14ac:dyDescent="0.65">
      <c r="A30" s="199" t="s">
        <v>210</v>
      </c>
      <c r="B30" s="66">
        <v>83049559</v>
      </c>
      <c r="C30" s="66" t="s">
        <v>80</v>
      </c>
      <c r="D30" s="25" t="s">
        <v>81</v>
      </c>
      <c r="E30" s="26"/>
      <c r="F30" s="73">
        <v>4</v>
      </c>
      <c r="G30" s="73">
        <v>36</v>
      </c>
      <c r="H30" s="51">
        <v>0</v>
      </c>
      <c r="I30" s="26"/>
      <c r="J30" s="26"/>
      <c r="K30" s="27"/>
      <c r="L30" s="74">
        <f>(F30*0.5)+(H30*(2*G30/30))</f>
        <v>2</v>
      </c>
    </row>
    <row r="31" spans="1:12" s="14" customFormat="1" ht="4.2" customHeight="1" x14ac:dyDescent="0.6"/>
    <row r="32" spans="1:12" ht="63.6" thickBot="1" x14ac:dyDescent="0.65">
      <c r="A32" s="97" t="s">
        <v>149</v>
      </c>
      <c r="B32" s="11"/>
      <c r="C32" s="11"/>
      <c r="D32" s="11"/>
      <c r="E32" s="23" t="s">
        <v>63</v>
      </c>
      <c r="F32" s="24" t="s">
        <v>79</v>
      </c>
      <c r="G32" s="24" t="s">
        <v>61</v>
      </c>
    </row>
    <row r="33" spans="1:12" ht="21.6" thickBot="1" x14ac:dyDescent="0.65">
      <c r="A33" s="10" t="s">
        <v>210</v>
      </c>
      <c r="B33" s="118" t="s">
        <v>82</v>
      </c>
      <c r="C33" s="119"/>
      <c r="D33" s="120"/>
      <c r="E33" s="73">
        <v>60</v>
      </c>
      <c r="F33" s="73">
        <v>0</v>
      </c>
      <c r="G33" s="76">
        <v>0</v>
      </c>
      <c r="H33" s="28"/>
      <c r="I33" s="28"/>
      <c r="J33" s="29"/>
      <c r="K33" s="27"/>
      <c r="L33" s="74">
        <f>(F33*(IF(E33&lt;31,2,E33/30)))+((G33/15)*(4+IF(E33&lt;31,1,E33/30)))</f>
        <v>0</v>
      </c>
    </row>
    <row r="34" spans="1:12" ht="21.6" thickBot="1" x14ac:dyDescent="0.65">
      <c r="A34" s="10" t="s">
        <v>211</v>
      </c>
      <c r="B34" s="118" t="s">
        <v>82</v>
      </c>
      <c r="C34" s="119"/>
      <c r="D34" s="120"/>
      <c r="E34" s="73">
        <v>3</v>
      </c>
      <c r="F34" s="73">
        <v>0</v>
      </c>
      <c r="G34" s="76">
        <v>0</v>
      </c>
      <c r="H34" s="28"/>
      <c r="I34" s="28"/>
      <c r="J34" s="29"/>
      <c r="K34" s="27"/>
      <c r="L34" s="74">
        <f>(F34*(IF(E34&lt;31,2,E34/30)))+(G34/15)*(3+IF(E34&lt;31,1,E34/30))</f>
        <v>0</v>
      </c>
    </row>
    <row r="35" spans="1:12" x14ac:dyDescent="0.6">
      <c r="B35" s="129" t="s">
        <v>83</v>
      </c>
      <c r="C35" s="129"/>
      <c r="D35" s="133"/>
      <c r="E35" s="131" t="s">
        <v>215</v>
      </c>
      <c r="F35" s="131"/>
      <c r="G35" s="131"/>
      <c r="I35" s="13"/>
    </row>
    <row r="36" spans="1:12" x14ac:dyDescent="0.6">
      <c r="B36" s="16" t="s">
        <v>84</v>
      </c>
      <c r="C36" s="127" t="s">
        <v>85</v>
      </c>
      <c r="D36" s="128"/>
      <c r="E36" s="31" t="s">
        <v>150</v>
      </c>
      <c r="F36" s="31"/>
      <c r="G36" s="31"/>
      <c r="H36" s="19"/>
      <c r="I36" s="32"/>
    </row>
    <row r="37" spans="1:12" x14ac:dyDescent="0.6">
      <c r="A37" s="10" t="s">
        <v>210</v>
      </c>
      <c r="B37" s="51">
        <v>64330047</v>
      </c>
      <c r="C37" s="121" t="s">
        <v>94</v>
      </c>
      <c r="D37" s="122"/>
      <c r="E37" s="124">
        <v>1</v>
      </c>
      <c r="F37" s="126"/>
      <c r="G37" s="125"/>
    </row>
    <row r="38" spans="1:12" x14ac:dyDescent="0.6">
      <c r="B38" s="51">
        <v>63330025</v>
      </c>
      <c r="C38" s="121" t="s">
        <v>94</v>
      </c>
      <c r="D38" s="122"/>
      <c r="E38" s="124">
        <v>4</v>
      </c>
      <c r="F38" s="126"/>
      <c r="G38" s="125"/>
    </row>
    <row r="39" spans="1:12" x14ac:dyDescent="0.6">
      <c r="B39" s="51">
        <v>64330032</v>
      </c>
      <c r="C39" s="121" t="s">
        <v>94</v>
      </c>
      <c r="D39" s="122"/>
      <c r="E39" s="124">
        <v>1</v>
      </c>
      <c r="F39" s="126"/>
      <c r="G39" s="125"/>
    </row>
    <row r="40" spans="1:12" x14ac:dyDescent="0.6">
      <c r="B40" s="51">
        <v>64330059</v>
      </c>
      <c r="C40" s="121" t="s">
        <v>94</v>
      </c>
      <c r="D40" s="122"/>
      <c r="E40" s="124">
        <v>4</v>
      </c>
      <c r="F40" s="126"/>
      <c r="G40" s="125"/>
    </row>
    <row r="41" spans="1:12" x14ac:dyDescent="0.6">
      <c r="B41" s="51">
        <v>63330015</v>
      </c>
      <c r="C41" s="121" t="s">
        <v>94</v>
      </c>
      <c r="D41" s="122"/>
      <c r="E41" s="124">
        <v>1</v>
      </c>
      <c r="F41" s="126"/>
      <c r="G41" s="125"/>
    </row>
    <row r="42" spans="1:12" x14ac:dyDescent="0.6">
      <c r="B42" s="51">
        <v>64330004</v>
      </c>
      <c r="C42" s="121" t="s">
        <v>94</v>
      </c>
      <c r="D42" s="122"/>
      <c r="E42" s="124">
        <v>1</v>
      </c>
      <c r="F42" s="126"/>
      <c r="G42" s="125"/>
    </row>
    <row r="43" spans="1:12" x14ac:dyDescent="0.6">
      <c r="B43" s="51">
        <v>61330052</v>
      </c>
      <c r="C43" s="121" t="s">
        <v>94</v>
      </c>
      <c r="D43" s="122"/>
      <c r="E43" s="124">
        <v>2</v>
      </c>
      <c r="F43" s="126"/>
      <c r="G43" s="125"/>
    </row>
    <row r="44" spans="1:12" x14ac:dyDescent="0.6">
      <c r="B44" s="51">
        <v>64330022</v>
      </c>
      <c r="C44" s="121" t="s">
        <v>94</v>
      </c>
      <c r="D44" s="122"/>
      <c r="E44" s="124">
        <v>1</v>
      </c>
      <c r="F44" s="126"/>
      <c r="G44" s="125"/>
    </row>
    <row r="45" spans="1:12" x14ac:dyDescent="0.6">
      <c r="B45" s="51">
        <v>64330022</v>
      </c>
      <c r="C45" s="121" t="s">
        <v>94</v>
      </c>
      <c r="D45" s="122"/>
      <c r="E45" s="124">
        <v>1</v>
      </c>
      <c r="F45" s="126"/>
      <c r="G45" s="125"/>
    </row>
    <row r="46" spans="1:12" x14ac:dyDescent="0.6">
      <c r="B46" s="51">
        <v>64330026</v>
      </c>
      <c r="C46" s="121" t="s">
        <v>94</v>
      </c>
      <c r="D46" s="122"/>
      <c r="E46" s="124">
        <v>1</v>
      </c>
      <c r="F46" s="126"/>
      <c r="G46" s="125"/>
    </row>
    <row r="47" spans="1:12" x14ac:dyDescent="0.6">
      <c r="B47" s="51">
        <v>64330008</v>
      </c>
      <c r="C47" s="121" t="s">
        <v>94</v>
      </c>
      <c r="D47" s="122"/>
      <c r="E47" s="124">
        <v>1</v>
      </c>
      <c r="F47" s="126"/>
      <c r="G47" s="125"/>
    </row>
    <row r="48" spans="1:12" x14ac:dyDescent="0.6">
      <c r="B48" s="51">
        <v>60330133</v>
      </c>
      <c r="C48" s="121" t="s">
        <v>94</v>
      </c>
      <c r="D48" s="122"/>
      <c r="E48" s="124">
        <v>1</v>
      </c>
      <c r="F48" s="126"/>
      <c r="G48" s="125"/>
    </row>
    <row r="49" spans="1:12" x14ac:dyDescent="0.6">
      <c r="B49" s="51"/>
      <c r="C49" s="121"/>
      <c r="D49" s="122"/>
      <c r="E49" s="124"/>
      <c r="F49" s="126"/>
      <c r="G49" s="125"/>
    </row>
    <row r="50" spans="1:12" x14ac:dyDescent="0.6">
      <c r="B50" s="51"/>
      <c r="C50" s="121"/>
      <c r="D50" s="122"/>
      <c r="E50" s="124"/>
      <c r="F50" s="126"/>
      <c r="G50" s="125"/>
    </row>
    <row r="51" spans="1:12" x14ac:dyDescent="0.6">
      <c r="B51" s="51"/>
      <c r="C51" s="108"/>
      <c r="D51" s="109"/>
      <c r="E51" s="80"/>
      <c r="F51" s="81"/>
      <c r="G51" s="82"/>
    </row>
    <row r="52" spans="1:12" x14ac:dyDescent="0.6">
      <c r="B52" s="51"/>
      <c r="C52" s="108"/>
      <c r="D52" s="109"/>
      <c r="E52" s="80"/>
      <c r="F52" s="81"/>
      <c r="G52" s="82"/>
    </row>
    <row r="53" spans="1:12" ht="21.6" thickBot="1" x14ac:dyDescent="0.65">
      <c r="B53" s="51"/>
      <c r="C53" s="121"/>
      <c r="D53" s="122"/>
      <c r="E53" s="124"/>
      <c r="F53" s="126"/>
      <c r="G53" s="125"/>
    </row>
    <row r="54" spans="1:12" ht="21.6" thickBot="1" x14ac:dyDescent="0.65">
      <c r="B54" s="77" t="s">
        <v>87</v>
      </c>
      <c r="C54" s="78"/>
      <c r="D54" s="78"/>
      <c r="E54" s="34"/>
      <c r="F54" s="34"/>
      <c r="G54" s="35">
        <f>SUM(E37:G53)</f>
        <v>19</v>
      </c>
      <c r="L54" s="36"/>
    </row>
    <row r="55" spans="1:12" ht="63.6" thickBot="1" x14ac:dyDescent="0.65">
      <c r="A55" s="97" t="s">
        <v>152</v>
      </c>
      <c r="B55" s="11"/>
      <c r="C55" s="11"/>
      <c r="D55" s="11"/>
      <c r="E55" s="37" t="s">
        <v>63</v>
      </c>
      <c r="F55" s="38" t="s">
        <v>79</v>
      </c>
      <c r="G55" s="39"/>
    </row>
    <row r="56" spans="1:12" ht="21.6" thickBot="1" x14ac:dyDescent="0.65">
      <c r="A56" s="10" t="s">
        <v>171</v>
      </c>
      <c r="B56" s="118" t="s">
        <v>77</v>
      </c>
      <c r="C56" s="119"/>
      <c r="D56" s="123"/>
      <c r="E56" s="83">
        <v>4</v>
      </c>
      <c r="F56" s="73">
        <v>0</v>
      </c>
      <c r="G56" s="26"/>
      <c r="H56" s="29"/>
      <c r="I56" s="29"/>
      <c r="J56" s="29"/>
      <c r="K56" s="27"/>
      <c r="L56" s="84">
        <f>F56*(IF(E56&lt;31,2,E56/30))</f>
        <v>0</v>
      </c>
    </row>
    <row r="57" spans="1:12" ht="21.6" thickBot="1" x14ac:dyDescent="0.65">
      <c r="A57" s="10" t="s">
        <v>172</v>
      </c>
      <c r="B57" s="118" t="s">
        <v>77</v>
      </c>
      <c r="C57" s="119"/>
      <c r="D57" s="123"/>
      <c r="E57" s="83">
        <v>6</v>
      </c>
      <c r="F57" s="73">
        <v>0</v>
      </c>
      <c r="G57" s="26"/>
      <c r="H57" s="29"/>
      <c r="I57" s="29"/>
      <c r="J57" s="29"/>
      <c r="K57" s="27"/>
      <c r="L57" s="84">
        <f>F57*(IF(E57&lt;31,2,E57/30))</f>
        <v>0</v>
      </c>
    </row>
    <row r="58" spans="1:12" x14ac:dyDescent="0.6">
      <c r="B58" s="129" t="s">
        <v>88</v>
      </c>
      <c r="C58" s="129"/>
      <c r="D58" s="129"/>
      <c r="E58" s="130" t="s">
        <v>68</v>
      </c>
      <c r="F58" s="131"/>
    </row>
    <row r="59" spans="1:12" x14ac:dyDescent="0.6">
      <c r="B59" s="16" t="s">
        <v>84</v>
      </c>
      <c r="C59" s="127" t="s">
        <v>85</v>
      </c>
      <c r="D59" s="127"/>
      <c r="E59" s="40" t="s">
        <v>153</v>
      </c>
      <c r="F59" s="31"/>
    </row>
    <row r="60" spans="1:12" x14ac:dyDescent="0.6">
      <c r="B60" s="51">
        <v>64330050</v>
      </c>
      <c r="C60" s="121" t="s">
        <v>94</v>
      </c>
      <c r="D60" s="122"/>
      <c r="E60" s="124">
        <v>2</v>
      </c>
      <c r="F60" s="125"/>
    </row>
    <row r="61" spans="1:12" x14ac:dyDescent="0.6">
      <c r="B61" s="51">
        <v>64330036</v>
      </c>
      <c r="C61" s="121" t="s">
        <v>94</v>
      </c>
      <c r="D61" s="122"/>
      <c r="E61" s="124">
        <v>1</v>
      </c>
      <c r="F61" s="125"/>
    </row>
    <row r="62" spans="1:12" x14ac:dyDescent="0.6">
      <c r="B62" s="51">
        <v>65330064</v>
      </c>
      <c r="C62" s="121" t="s">
        <v>94</v>
      </c>
      <c r="D62" s="122"/>
      <c r="E62" s="124">
        <v>1</v>
      </c>
      <c r="F62" s="125"/>
    </row>
    <row r="63" spans="1:12" x14ac:dyDescent="0.6">
      <c r="B63" s="51"/>
      <c r="C63" s="108"/>
      <c r="D63" s="109"/>
      <c r="E63" s="114"/>
      <c r="F63" s="115"/>
    </row>
    <row r="64" spans="1:12" ht="21.6" thickBot="1" x14ac:dyDescent="0.65">
      <c r="B64" s="51">
        <v>65330075</v>
      </c>
      <c r="C64" s="121" t="s">
        <v>94</v>
      </c>
      <c r="D64" s="122"/>
      <c r="E64" s="138">
        <v>1</v>
      </c>
      <c r="F64" s="139"/>
    </row>
    <row r="65" spans="1:12" ht="21.6" thickBot="1" x14ac:dyDescent="0.65">
      <c r="B65" s="33" t="s">
        <v>89</v>
      </c>
      <c r="C65" s="41"/>
      <c r="D65" s="41"/>
      <c r="E65" s="41"/>
      <c r="F65" s="42">
        <f>SUM(E60:F64)</f>
        <v>5</v>
      </c>
      <c r="L65" s="36"/>
    </row>
    <row r="68" spans="1:12" ht="43.8" customHeight="1" thickBot="1" x14ac:dyDescent="0.65">
      <c r="A68" s="97" t="s">
        <v>176</v>
      </c>
      <c r="B68" s="11"/>
      <c r="C68" s="11"/>
      <c r="D68" s="43" t="s">
        <v>63</v>
      </c>
      <c r="E68" s="141" t="s">
        <v>79</v>
      </c>
      <c r="F68" s="141"/>
    </row>
    <row r="69" spans="1:12" ht="21.6" thickBot="1" x14ac:dyDescent="0.65">
      <c r="A69" s="10" t="s">
        <v>171</v>
      </c>
      <c r="B69" s="118" t="s">
        <v>90</v>
      </c>
      <c r="C69" s="123"/>
      <c r="D69" s="83">
        <v>10</v>
      </c>
      <c r="E69" s="203">
        <v>0</v>
      </c>
      <c r="F69" s="204"/>
      <c r="G69" s="44"/>
      <c r="H69" s="29"/>
      <c r="I69" s="29"/>
      <c r="J69" s="29"/>
      <c r="K69" s="27"/>
      <c r="L69" s="30">
        <f>E69*IF(D69&lt;11,2,D69/10)</f>
        <v>0</v>
      </c>
    </row>
    <row r="70" spans="1:12" ht="21.6" thickBot="1" x14ac:dyDescent="0.65">
      <c r="A70" s="10" t="s">
        <v>172</v>
      </c>
      <c r="B70" s="118" t="s">
        <v>90</v>
      </c>
      <c r="C70" s="123"/>
      <c r="D70" s="83">
        <v>10</v>
      </c>
      <c r="E70" s="203">
        <v>0</v>
      </c>
      <c r="F70" s="204"/>
      <c r="G70" s="44"/>
      <c r="H70" s="29"/>
      <c r="I70" s="29"/>
      <c r="J70" s="29"/>
      <c r="K70" s="27"/>
      <c r="L70" s="30">
        <f>E70*IF(D70&lt;11,2,D70/10)</f>
        <v>0</v>
      </c>
    </row>
    <row r="71" spans="1:12" ht="42" x14ac:dyDescent="0.6">
      <c r="B71" s="129" t="s">
        <v>91</v>
      </c>
      <c r="C71" s="129"/>
      <c r="D71" s="140" t="s">
        <v>92</v>
      </c>
      <c r="E71" s="173"/>
      <c r="F71" s="142" t="s">
        <v>175</v>
      </c>
      <c r="G71" s="45" t="s">
        <v>93</v>
      </c>
    </row>
    <row r="72" spans="1:12" x14ac:dyDescent="0.6">
      <c r="B72" s="17" t="s">
        <v>84</v>
      </c>
      <c r="C72" s="17" t="s">
        <v>85</v>
      </c>
      <c r="D72" s="17" t="s">
        <v>154</v>
      </c>
      <c r="E72" s="17"/>
      <c r="F72" s="143"/>
      <c r="G72" s="17" t="s">
        <v>86</v>
      </c>
    </row>
    <row r="73" spans="1:12" x14ac:dyDescent="0.6">
      <c r="A73" s="98" t="s">
        <v>171</v>
      </c>
      <c r="B73" s="51" t="s">
        <v>151</v>
      </c>
      <c r="C73" s="51" t="s">
        <v>94</v>
      </c>
      <c r="D73" s="136">
        <v>4</v>
      </c>
      <c r="E73" s="137"/>
      <c r="F73" s="51">
        <v>1</v>
      </c>
      <c r="G73" s="79">
        <v>0</v>
      </c>
    </row>
    <row r="74" spans="1:12" x14ac:dyDescent="0.6">
      <c r="A74" s="98" t="s">
        <v>172</v>
      </c>
      <c r="B74" s="51" t="s">
        <v>151</v>
      </c>
      <c r="C74" s="51" t="s">
        <v>94</v>
      </c>
      <c r="D74" s="136"/>
      <c r="E74" s="137"/>
      <c r="F74" s="51"/>
      <c r="G74" s="51"/>
    </row>
    <row r="75" spans="1:12" x14ac:dyDescent="0.6">
      <c r="A75" s="98"/>
      <c r="B75" s="51"/>
      <c r="C75" s="51"/>
      <c r="D75" s="136"/>
      <c r="E75" s="137"/>
      <c r="F75" s="51"/>
      <c r="G75" s="51"/>
    </row>
    <row r="76" spans="1:12" ht="21.6" thickBot="1" x14ac:dyDescent="0.65">
      <c r="A76" s="98"/>
      <c r="B76" s="99"/>
      <c r="C76" s="99"/>
      <c r="D76" s="136"/>
      <c r="E76" s="137"/>
      <c r="F76" s="100"/>
      <c r="G76" s="99"/>
    </row>
    <row r="77" spans="1:12" ht="21.6" thickBot="1" x14ac:dyDescent="0.65">
      <c r="B77" s="46" t="s">
        <v>95</v>
      </c>
      <c r="C77" s="47"/>
      <c r="D77" s="47"/>
      <c r="E77" s="47"/>
      <c r="G77" s="48">
        <f>SUM(G73:G76)</f>
        <v>0</v>
      </c>
      <c r="L77" s="36"/>
    </row>
    <row r="78" spans="1:12" ht="21.6" thickBot="1" x14ac:dyDescent="0.65">
      <c r="B78" s="49" t="s">
        <v>96</v>
      </c>
      <c r="C78" s="29"/>
      <c r="D78" s="29"/>
      <c r="E78" s="29"/>
      <c r="F78" s="29">
        <f>G77+F65+G54</f>
        <v>24</v>
      </c>
      <c r="G78" s="29"/>
      <c r="H78" s="29"/>
      <c r="I78" s="29"/>
      <c r="J78" s="29"/>
      <c r="K78" s="27"/>
      <c r="L78" s="74">
        <f>IF(F78&gt;40,40,F78)</f>
        <v>24</v>
      </c>
    </row>
    <row r="79" spans="1:12" x14ac:dyDescent="0.6">
      <c r="K79" s="50" t="s">
        <v>97</v>
      </c>
      <c r="L79" s="50">
        <f>SUM(L5:L78)</f>
        <v>99.372161616161605</v>
      </c>
    </row>
  </sheetData>
  <mergeCells count="74">
    <mergeCell ref="K2:L3"/>
    <mergeCell ref="E41:G41"/>
    <mergeCell ref="E49:G49"/>
    <mergeCell ref="E50:G50"/>
    <mergeCell ref="D73:E73"/>
    <mergeCell ref="D74:E74"/>
    <mergeCell ref="D75:E75"/>
    <mergeCell ref="C49:D49"/>
    <mergeCell ref="C50:D50"/>
    <mergeCell ref="D76:E76"/>
    <mergeCell ref="E53:G53"/>
    <mergeCell ref="C60:D60"/>
    <mergeCell ref="C64:D64"/>
    <mergeCell ref="E60:F60"/>
    <mergeCell ref="E64:F64"/>
    <mergeCell ref="B71:C71"/>
    <mergeCell ref="D71:E71"/>
    <mergeCell ref="B69:C69"/>
    <mergeCell ref="E69:F69"/>
    <mergeCell ref="E68:F68"/>
    <mergeCell ref="B56:D56"/>
    <mergeCell ref="F71:F72"/>
    <mergeCell ref="C59:D59"/>
    <mergeCell ref="C53:D53"/>
    <mergeCell ref="C39:D39"/>
    <mergeCell ref="C41:D41"/>
    <mergeCell ref="C44:D44"/>
    <mergeCell ref="C38:D38"/>
    <mergeCell ref="C43:D43"/>
    <mergeCell ref="C40:D40"/>
    <mergeCell ref="C42:D42"/>
    <mergeCell ref="C45:D45"/>
    <mergeCell ref="E42:G42"/>
    <mergeCell ref="E43:G43"/>
    <mergeCell ref="E45:G45"/>
    <mergeCell ref="E48:G48"/>
    <mergeCell ref="C46:D46"/>
    <mergeCell ref="C47:D47"/>
    <mergeCell ref="E46:G46"/>
    <mergeCell ref="E47:G47"/>
    <mergeCell ref="E44:G44"/>
    <mergeCell ref="C48:D48"/>
    <mergeCell ref="B35:D35"/>
    <mergeCell ref="E35:G35"/>
    <mergeCell ref="I2:I3"/>
    <mergeCell ref="J2:J3"/>
    <mergeCell ref="E21:F21"/>
    <mergeCell ref="G28:H28"/>
    <mergeCell ref="B33:D33"/>
    <mergeCell ref="H2:H3"/>
    <mergeCell ref="B34:D34"/>
    <mergeCell ref="A4:C4"/>
    <mergeCell ref="A22:D22"/>
    <mergeCell ref="A2:A3"/>
    <mergeCell ref="B2:B3"/>
    <mergeCell ref="C2:C3"/>
    <mergeCell ref="D2:D3"/>
    <mergeCell ref="E3:G3"/>
    <mergeCell ref="E2:G2"/>
    <mergeCell ref="C37:D37"/>
    <mergeCell ref="B70:C70"/>
    <mergeCell ref="E70:F70"/>
    <mergeCell ref="C61:D61"/>
    <mergeCell ref="E61:F61"/>
    <mergeCell ref="C62:D62"/>
    <mergeCell ref="E62:F62"/>
    <mergeCell ref="E37:G37"/>
    <mergeCell ref="E39:G39"/>
    <mergeCell ref="C36:D36"/>
    <mergeCell ref="B57:D57"/>
    <mergeCell ref="B58:D58"/>
    <mergeCell ref="E58:F58"/>
    <mergeCell ref="E38:G38"/>
    <mergeCell ref="E40:G40"/>
  </mergeCells>
  <phoneticPr fontId="6" type="noConversion"/>
  <dataValidations count="3">
    <dataValidation type="list" allowBlank="1" showInputMessage="1" showErrorMessage="1" sqref="I5:I15 I17:I19 I26 I24 H30 F33:F34 F56:F57 E69:E70" xr:uid="{3F8F73D1-E0F7-45BF-A0BE-211BA6FEAE99}">
      <formula1>"1,0,0.5"</formula1>
    </dataValidation>
    <dataValidation type="list" allowBlank="1" showInputMessage="1" showErrorMessage="1" sqref="D5:D15 D17:D19" xr:uid="{AC280697-AF54-48E8-8414-64FD942F4B7A}">
      <formula1>"1(0-2-1),2(2-0-4),2(1-2-3),3(3-0-6),3(2-3-6)"</formula1>
    </dataValidation>
    <dataValidation type="list" allowBlank="1" showInputMessage="1" showErrorMessage="1" sqref="E37:G48" xr:uid="{2756A9C7-36E5-4F16-B4CA-7295984783B2}">
      <formula1>"1,2,4"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workbookViewId="0">
      <selection activeCell="F84" sqref="F84"/>
    </sheetView>
  </sheetViews>
  <sheetFormatPr defaultColWidth="8.88671875" defaultRowHeight="24.6" x14ac:dyDescent="0.7"/>
  <cols>
    <col min="1" max="1" width="8.88671875" style="1"/>
    <col min="2" max="2" width="16.5546875" style="1" customWidth="1"/>
    <col min="3" max="3" width="14.33203125" style="1" customWidth="1"/>
    <col min="4" max="4" width="13.109375" style="1" customWidth="1"/>
    <col min="5" max="5" width="13" style="1" customWidth="1"/>
    <col min="6" max="7" width="13.33203125" style="1" customWidth="1"/>
    <col min="8" max="8" width="16.44140625" style="1" customWidth="1"/>
    <col min="9" max="9" width="16.88671875" style="3" customWidth="1"/>
    <col min="10" max="16384" width="8.88671875" style="1"/>
  </cols>
  <sheetData>
    <row r="1" spans="1:9" x14ac:dyDescent="0.7">
      <c r="A1" s="2" t="s">
        <v>202</v>
      </c>
    </row>
    <row r="2" spans="1:9" x14ac:dyDescent="0.7">
      <c r="A2" s="92" t="s">
        <v>3</v>
      </c>
      <c r="B2" s="92" t="s">
        <v>218</v>
      </c>
      <c r="C2" s="92"/>
    </row>
    <row r="3" spans="1:9" x14ac:dyDescent="0.7">
      <c r="A3" s="2" t="s">
        <v>0</v>
      </c>
      <c r="B3" s="2" t="s">
        <v>1</v>
      </c>
    </row>
    <row r="4" spans="1:9" ht="31.8" customHeight="1" x14ac:dyDescent="0.7">
      <c r="B4" s="157" t="s">
        <v>2</v>
      </c>
      <c r="C4" s="156" t="s">
        <v>4</v>
      </c>
      <c r="D4" s="156" t="s">
        <v>9</v>
      </c>
      <c r="E4" s="156"/>
      <c r="I4" s="3" t="s">
        <v>36</v>
      </c>
    </row>
    <row r="5" spans="1:9" ht="53.4" customHeight="1" x14ac:dyDescent="0.7">
      <c r="B5" s="157"/>
      <c r="C5" s="156"/>
      <c r="D5" s="85" t="s">
        <v>13</v>
      </c>
      <c r="E5" s="64" t="s">
        <v>14</v>
      </c>
    </row>
    <row r="6" spans="1:9" x14ac:dyDescent="0.7">
      <c r="B6" s="64" t="s">
        <v>5</v>
      </c>
      <c r="C6" s="64">
        <v>12</v>
      </c>
      <c r="D6" s="86">
        <v>0</v>
      </c>
      <c r="E6" s="86">
        <v>0</v>
      </c>
      <c r="I6" s="87">
        <f>(C6*D6)+(E6*(C6/2))</f>
        <v>0</v>
      </c>
    </row>
    <row r="7" spans="1:9" x14ac:dyDescent="0.7">
      <c r="B7" s="64" t="s">
        <v>6</v>
      </c>
      <c r="C7" s="64">
        <v>8</v>
      </c>
      <c r="D7" s="86">
        <v>0</v>
      </c>
      <c r="E7" s="86">
        <v>0</v>
      </c>
      <c r="I7" s="87">
        <f>(C7*D7)+(E7*(C7/2))</f>
        <v>0</v>
      </c>
    </row>
    <row r="8" spans="1:9" x14ac:dyDescent="0.7">
      <c r="B8" s="64" t="s">
        <v>7</v>
      </c>
      <c r="C8" s="64">
        <v>4</v>
      </c>
      <c r="D8" s="86">
        <v>0</v>
      </c>
      <c r="E8" s="86">
        <v>0</v>
      </c>
      <c r="I8" s="87">
        <f>(C8*D8)+(E8*(C8/2))</f>
        <v>0</v>
      </c>
    </row>
    <row r="9" spans="1:9" x14ac:dyDescent="0.7">
      <c r="B9" s="64" t="s">
        <v>8</v>
      </c>
      <c r="C9" s="64">
        <v>4</v>
      </c>
      <c r="D9" s="86">
        <v>0</v>
      </c>
      <c r="E9" s="86">
        <v>0</v>
      </c>
      <c r="I9" s="87">
        <f>(C9*D9)+(E9*(C9/2))</f>
        <v>0</v>
      </c>
    </row>
    <row r="10" spans="1:9" ht="31.8" customHeight="1" x14ac:dyDescent="0.7">
      <c r="B10" s="157" t="s">
        <v>10</v>
      </c>
      <c r="C10" s="156" t="s">
        <v>4</v>
      </c>
      <c r="D10" s="156" t="s">
        <v>9</v>
      </c>
      <c r="E10" s="156"/>
    </row>
    <row r="11" spans="1:9" ht="49.2" x14ac:dyDescent="0.7">
      <c r="B11" s="157"/>
      <c r="C11" s="156"/>
      <c r="D11" s="85" t="s">
        <v>13</v>
      </c>
      <c r="E11" s="64" t="s">
        <v>14</v>
      </c>
    </row>
    <row r="12" spans="1:9" x14ac:dyDescent="0.7">
      <c r="B12" s="64" t="s">
        <v>11</v>
      </c>
      <c r="C12" s="64">
        <v>22</v>
      </c>
      <c r="D12" s="86">
        <v>0</v>
      </c>
      <c r="E12" s="86">
        <v>0</v>
      </c>
      <c r="I12" s="87">
        <f>(C12*D12)+(E12*(C12/2))</f>
        <v>0</v>
      </c>
    </row>
    <row r="13" spans="1:9" x14ac:dyDescent="0.7">
      <c r="B13" s="64" t="s">
        <v>155</v>
      </c>
      <c r="C13" s="64">
        <v>18</v>
      </c>
      <c r="D13" s="86">
        <v>0</v>
      </c>
      <c r="E13" s="86">
        <v>0</v>
      </c>
      <c r="I13" s="87">
        <f>(C13*D13)+(E13*(C13/2))</f>
        <v>0</v>
      </c>
    </row>
    <row r="14" spans="1:9" x14ac:dyDescent="0.7">
      <c r="B14" s="64" t="s">
        <v>156</v>
      </c>
      <c r="C14" s="64">
        <v>16</v>
      </c>
      <c r="D14" s="86">
        <v>0</v>
      </c>
      <c r="E14" s="86">
        <v>1</v>
      </c>
      <c r="I14" s="87">
        <f>(C14*D14)+(E14*(C14/2))</f>
        <v>8</v>
      </c>
    </row>
    <row r="15" spans="1:9" x14ac:dyDescent="0.7">
      <c r="B15" s="64" t="s">
        <v>12</v>
      </c>
      <c r="C15" s="64">
        <v>12</v>
      </c>
      <c r="D15" s="86">
        <v>0</v>
      </c>
      <c r="E15" s="86">
        <v>0</v>
      </c>
      <c r="I15" s="87">
        <f>(C15*D15)+(E15*(C15/2))</f>
        <v>0</v>
      </c>
    </row>
    <row r="16" spans="1:9" x14ac:dyDescent="0.7">
      <c r="B16" s="104" t="s">
        <v>8</v>
      </c>
      <c r="C16" s="104">
        <v>8</v>
      </c>
      <c r="D16" s="105">
        <v>1</v>
      </c>
      <c r="E16" s="105">
        <v>0</v>
      </c>
      <c r="I16" s="87">
        <f>(C16*D16)+(E16*(C16/2))</f>
        <v>8</v>
      </c>
    </row>
    <row r="17" spans="1:9" x14ac:dyDescent="0.7">
      <c r="B17" s="146" t="s">
        <v>19</v>
      </c>
      <c r="C17" s="146"/>
      <c r="D17" s="146"/>
      <c r="E17" s="146"/>
      <c r="F17" s="146"/>
      <c r="G17" s="146"/>
    </row>
    <row r="18" spans="1:9" ht="141.44999999999999" customHeight="1" x14ac:dyDescent="0.7">
      <c r="B18" s="147" t="s">
        <v>206</v>
      </c>
      <c r="C18" s="148"/>
      <c r="D18" s="148"/>
      <c r="E18" s="148"/>
      <c r="F18" s="148"/>
      <c r="G18" s="148"/>
    </row>
    <row r="19" spans="1:9" ht="96" customHeight="1" x14ac:dyDescent="0.7">
      <c r="B19" s="147" t="s">
        <v>207</v>
      </c>
      <c r="C19" s="149"/>
      <c r="D19" s="149"/>
      <c r="E19" s="149"/>
      <c r="F19" s="149"/>
      <c r="G19" s="149"/>
    </row>
    <row r="21" spans="1:9" x14ac:dyDescent="0.7">
      <c r="A21" s="1" t="s">
        <v>16</v>
      </c>
      <c r="B21" s="1" t="s">
        <v>15</v>
      </c>
    </row>
    <row r="22" spans="1:9" x14ac:dyDescent="0.7">
      <c r="B22" s="157" t="s">
        <v>2</v>
      </c>
      <c r="C22" s="157" t="s">
        <v>35</v>
      </c>
      <c r="D22" s="156" t="s">
        <v>9</v>
      </c>
      <c r="E22" s="156"/>
    </row>
    <row r="23" spans="1:9" ht="49.2" x14ac:dyDescent="0.7">
      <c r="B23" s="157"/>
      <c r="C23" s="157"/>
      <c r="D23" s="85" t="s">
        <v>13</v>
      </c>
      <c r="E23" s="64" t="s">
        <v>14</v>
      </c>
    </row>
    <row r="24" spans="1:9" x14ac:dyDescent="0.7">
      <c r="B24" s="64" t="s">
        <v>17</v>
      </c>
      <c r="C24" s="64">
        <v>2</v>
      </c>
      <c r="D24" s="86">
        <v>0</v>
      </c>
      <c r="E24" s="86">
        <v>1</v>
      </c>
      <c r="I24" s="87">
        <f>(C24*D24)+(E24*(C24/2))</f>
        <v>1</v>
      </c>
    </row>
    <row r="25" spans="1:9" x14ac:dyDescent="0.7">
      <c r="B25" s="64" t="s">
        <v>18</v>
      </c>
      <c r="C25" s="64">
        <v>1</v>
      </c>
      <c r="D25" s="86">
        <v>0</v>
      </c>
      <c r="E25" s="86">
        <v>2</v>
      </c>
      <c r="I25" s="87">
        <f>(C25*D25)+(E25*(C25/2))</f>
        <v>1</v>
      </c>
    </row>
    <row r="26" spans="1:9" x14ac:dyDescent="0.7">
      <c r="B26" s="157" t="s">
        <v>10</v>
      </c>
      <c r="C26" s="157" t="s">
        <v>35</v>
      </c>
      <c r="D26" s="156" t="s">
        <v>9</v>
      </c>
      <c r="E26" s="156"/>
    </row>
    <row r="27" spans="1:9" ht="24.6" customHeight="1" x14ac:dyDescent="0.7">
      <c r="B27" s="157"/>
      <c r="C27" s="157"/>
      <c r="D27" s="85" t="s">
        <v>13</v>
      </c>
      <c r="E27" s="64" t="s">
        <v>14</v>
      </c>
    </row>
    <row r="28" spans="1:9" x14ac:dyDescent="0.7">
      <c r="B28" s="64" t="s">
        <v>17</v>
      </c>
      <c r="C28" s="64">
        <v>4</v>
      </c>
      <c r="D28" s="86">
        <v>0</v>
      </c>
      <c r="E28" s="86">
        <v>0</v>
      </c>
      <c r="I28" s="89">
        <f>(C28*D28)+(E28*(C28/2))</f>
        <v>0</v>
      </c>
    </row>
    <row r="29" spans="1:9" x14ac:dyDescent="0.7">
      <c r="B29" s="104" t="s">
        <v>18</v>
      </c>
      <c r="C29" s="104">
        <v>2</v>
      </c>
      <c r="D29" s="105">
        <v>0</v>
      </c>
      <c r="E29" s="105">
        <v>0</v>
      </c>
      <c r="I29" s="89">
        <f>(C29*D29)+(E29*(C29/2))</f>
        <v>0</v>
      </c>
    </row>
    <row r="30" spans="1:9" x14ac:dyDescent="0.7">
      <c r="B30" s="146" t="s">
        <v>20</v>
      </c>
      <c r="C30" s="146"/>
      <c r="D30" s="146"/>
      <c r="E30" s="146"/>
      <c r="F30" s="146"/>
    </row>
    <row r="31" spans="1:9" ht="98.55" customHeight="1" x14ac:dyDescent="0.7">
      <c r="B31" s="150" t="s">
        <v>225</v>
      </c>
      <c r="C31" s="151"/>
      <c r="D31" s="151"/>
      <c r="E31" s="151"/>
      <c r="F31" s="151"/>
      <c r="G31" s="151"/>
      <c r="H31" s="151"/>
    </row>
    <row r="32" spans="1:9" ht="79.05" customHeight="1" x14ac:dyDescent="0.7">
      <c r="B32" s="150">
        <v>2</v>
      </c>
      <c r="C32" s="152"/>
      <c r="D32" s="152"/>
      <c r="E32" s="152"/>
      <c r="F32" s="152"/>
      <c r="G32" s="152"/>
      <c r="H32" s="152"/>
    </row>
    <row r="33" spans="1:9" ht="82.05" customHeight="1" x14ac:dyDescent="0.7">
      <c r="B33" s="144">
        <v>3</v>
      </c>
      <c r="C33" s="145"/>
      <c r="D33" s="145"/>
      <c r="E33" s="145"/>
      <c r="F33" s="145"/>
      <c r="G33" s="145"/>
      <c r="H33" s="145"/>
    </row>
    <row r="34" spans="1:9" x14ac:dyDescent="0.7">
      <c r="G34" s="1" t="s">
        <v>146</v>
      </c>
    </row>
    <row r="35" spans="1:9" ht="49.2" x14ac:dyDescent="0.7">
      <c r="A35" s="2" t="s">
        <v>21</v>
      </c>
      <c r="B35" s="2" t="s">
        <v>22</v>
      </c>
      <c r="F35" s="4" t="s">
        <v>185</v>
      </c>
      <c r="G35" s="1" t="s">
        <v>27</v>
      </c>
      <c r="H35" s="4" t="s">
        <v>186</v>
      </c>
    </row>
    <row r="36" spans="1:9" x14ac:dyDescent="0.7">
      <c r="B36" s="1" t="s">
        <v>24</v>
      </c>
      <c r="F36" s="101">
        <v>0</v>
      </c>
      <c r="G36" s="3">
        <f>F36*2</f>
        <v>0</v>
      </c>
      <c r="H36" s="101">
        <v>0</v>
      </c>
      <c r="I36" s="3">
        <f>G36*H36</f>
        <v>0</v>
      </c>
    </row>
    <row r="37" spans="1:9" x14ac:dyDescent="0.7">
      <c r="B37" s="1" t="s">
        <v>26</v>
      </c>
      <c r="F37" s="101">
        <v>0</v>
      </c>
      <c r="G37" s="3">
        <f>F37*3</f>
        <v>0</v>
      </c>
      <c r="H37" s="101">
        <v>0</v>
      </c>
      <c r="I37" s="3">
        <f t="shared" ref="I37:I46" si="0">G37*H37</f>
        <v>0</v>
      </c>
    </row>
    <row r="38" spans="1:9" x14ac:dyDescent="0.7">
      <c r="B38" s="1" t="s">
        <v>23</v>
      </c>
      <c r="G38" s="1">
        <v>15</v>
      </c>
      <c r="H38" s="101">
        <v>0</v>
      </c>
      <c r="I38" s="3">
        <f t="shared" si="0"/>
        <v>0</v>
      </c>
    </row>
    <row r="39" spans="1:9" ht="48.45" customHeight="1" x14ac:dyDescent="0.7">
      <c r="B39" s="144" t="s">
        <v>177</v>
      </c>
      <c r="C39" s="144"/>
      <c r="D39" s="144"/>
      <c r="E39" s="144"/>
      <c r="F39" s="101">
        <v>0</v>
      </c>
      <c r="G39" s="3">
        <f>F39*1</f>
        <v>0</v>
      </c>
      <c r="H39" s="101">
        <v>0</v>
      </c>
      <c r="I39" s="3">
        <f t="shared" si="0"/>
        <v>0</v>
      </c>
    </row>
    <row r="40" spans="1:9" x14ac:dyDescent="0.7">
      <c r="B40" s="1" t="s">
        <v>178</v>
      </c>
      <c r="I40" s="3">
        <f t="shared" si="0"/>
        <v>0</v>
      </c>
    </row>
    <row r="41" spans="1:9" x14ac:dyDescent="0.7">
      <c r="B41" s="1" t="s">
        <v>179</v>
      </c>
      <c r="C41" s="1" t="s">
        <v>158</v>
      </c>
      <c r="G41" s="1">
        <v>12</v>
      </c>
      <c r="H41" s="101">
        <v>0</v>
      </c>
      <c r="I41" s="3">
        <f t="shared" si="0"/>
        <v>0</v>
      </c>
    </row>
    <row r="42" spans="1:9" x14ac:dyDescent="0.7">
      <c r="C42" s="1" t="s">
        <v>157</v>
      </c>
      <c r="G42" s="1">
        <v>4</v>
      </c>
      <c r="H42" s="101">
        <v>0</v>
      </c>
      <c r="I42" s="3">
        <f t="shared" si="0"/>
        <v>0</v>
      </c>
    </row>
    <row r="43" spans="1:9" x14ac:dyDescent="0.7">
      <c r="B43" s="1" t="s">
        <v>180</v>
      </c>
      <c r="C43" s="1" t="s">
        <v>158</v>
      </c>
      <c r="G43" s="1">
        <v>8</v>
      </c>
      <c r="H43" s="101">
        <v>0</v>
      </c>
      <c r="I43" s="3">
        <f t="shared" si="0"/>
        <v>0</v>
      </c>
    </row>
    <row r="44" spans="1:9" x14ac:dyDescent="0.7">
      <c r="C44" s="1" t="s">
        <v>157</v>
      </c>
      <c r="G44" s="1">
        <v>2</v>
      </c>
      <c r="H44" s="101">
        <v>0</v>
      </c>
      <c r="I44" s="3">
        <f t="shared" si="0"/>
        <v>0</v>
      </c>
    </row>
    <row r="45" spans="1:9" x14ac:dyDescent="0.7">
      <c r="B45" s="1" t="s">
        <v>181</v>
      </c>
      <c r="G45" s="1">
        <v>8</v>
      </c>
      <c r="H45" s="101">
        <v>0</v>
      </c>
      <c r="I45" s="3">
        <f t="shared" si="0"/>
        <v>0</v>
      </c>
    </row>
    <row r="46" spans="1:9" x14ac:dyDescent="0.7">
      <c r="B46" s="1" t="s">
        <v>182</v>
      </c>
      <c r="G46" s="1">
        <v>8</v>
      </c>
      <c r="H46" s="101">
        <v>0</v>
      </c>
      <c r="I46" s="3">
        <f t="shared" si="0"/>
        <v>0</v>
      </c>
    </row>
    <row r="47" spans="1:9" x14ac:dyDescent="0.7">
      <c r="B47" s="154" t="s">
        <v>28</v>
      </c>
      <c r="C47" s="154"/>
      <c r="D47" s="154"/>
      <c r="E47" s="154"/>
      <c r="F47" s="154"/>
    </row>
    <row r="48" spans="1:9" x14ac:dyDescent="0.7">
      <c r="B48" s="155" t="s">
        <v>183</v>
      </c>
      <c r="C48" s="155"/>
      <c r="D48" s="155"/>
      <c r="E48" s="155"/>
      <c r="F48" s="155"/>
    </row>
    <row r="49" spans="1:9" x14ac:dyDescent="0.7">
      <c r="B49" s="155" t="s">
        <v>184</v>
      </c>
      <c r="C49" s="155"/>
      <c r="D49" s="155"/>
      <c r="E49" s="155"/>
      <c r="F49" s="155"/>
    </row>
    <row r="51" spans="1:9" x14ac:dyDescent="0.7">
      <c r="A51" s="1" t="s">
        <v>188</v>
      </c>
      <c r="B51" s="2" t="s">
        <v>30</v>
      </c>
      <c r="D51" s="161"/>
      <c r="E51" s="161"/>
    </row>
    <row r="52" spans="1:9" ht="73.8" x14ac:dyDescent="0.7">
      <c r="B52" s="1" t="s">
        <v>31</v>
      </c>
      <c r="C52" s="1" t="s">
        <v>35</v>
      </c>
      <c r="D52" s="102" t="s">
        <v>186</v>
      </c>
    </row>
    <row r="53" spans="1:9" x14ac:dyDescent="0.7">
      <c r="B53" s="1" t="s">
        <v>32</v>
      </c>
      <c r="C53" s="1">
        <v>0.5</v>
      </c>
      <c r="D53" s="101">
        <v>0</v>
      </c>
      <c r="I53" s="3">
        <f>D53*C53</f>
        <v>0</v>
      </c>
    </row>
    <row r="54" spans="1:9" x14ac:dyDescent="0.7">
      <c r="B54" s="1" t="s">
        <v>33</v>
      </c>
      <c r="C54" s="1">
        <v>1</v>
      </c>
      <c r="D54" s="101">
        <v>0</v>
      </c>
      <c r="I54" s="3">
        <f>D54*C54</f>
        <v>0</v>
      </c>
    </row>
    <row r="55" spans="1:9" x14ac:dyDescent="0.7">
      <c r="B55" s="1" t="s">
        <v>34</v>
      </c>
      <c r="C55" s="1">
        <v>2</v>
      </c>
      <c r="D55" s="101">
        <v>0</v>
      </c>
      <c r="I55" s="3">
        <f>D55*C55</f>
        <v>0</v>
      </c>
    </row>
    <row r="56" spans="1:9" x14ac:dyDescent="0.7">
      <c r="B56" s="146" t="s">
        <v>29</v>
      </c>
      <c r="C56" s="146"/>
      <c r="D56" s="146"/>
      <c r="E56" s="146"/>
      <c r="F56" s="146"/>
    </row>
    <row r="57" spans="1:9" ht="60" customHeight="1" x14ac:dyDescent="0.7">
      <c r="B57" s="147">
        <v>1</v>
      </c>
      <c r="C57" s="147"/>
      <c r="D57" s="147"/>
      <c r="E57" s="147"/>
      <c r="F57" s="147"/>
    </row>
    <row r="58" spans="1:9" x14ac:dyDescent="0.7">
      <c r="B58" s="149" t="s">
        <v>37</v>
      </c>
      <c r="C58" s="149"/>
      <c r="D58" s="149"/>
      <c r="E58" s="149"/>
      <c r="F58" s="149"/>
    </row>
    <row r="59" spans="1:9" x14ac:dyDescent="0.7">
      <c r="B59" s="70"/>
      <c r="C59" s="70"/>
      <c r="D59" s="70"/>
      <c r="E59" s="70"/>
      <c r="F59" s="70"/>
    </row>
    <row r="60" spans="1:9" x14ac:dyDescent="0.7">
      <c r="A60" s="1" t="s">
        <v>189</v>
      </c>
      <c r="B60" s="90" t="s">
        <v>159</v>
      </c>
      <c r="C60" s="70"/>
      <c r="D60" s="70"/>
      <c r="E60" s="70"/>
      <c r="F60" s="70"/>
    </row>
    <row r="61" spans="1:9" ht="73.8" x14ac:dyDescent="0.7">
      <c r="B61" s="1" t="s">
        <v>31</v>
      </c>
      <c r="C61" s="1" t="s">
        <v>35</v>
      </c>
      <c r="D61" s="102" t="s">
        <v>186</v>
      </c>
    </row>
    <row r="62" spans="1:9" x14ac:dyDescent="0.7">
      <c r="B62" s="1" t="s">
        <v>32</v>
      </c>
      <c r="C62" s="1">
        <v>1</v>
      </c>
      <c r="D62" s="101">
        <v>0</v>
      </c>
      <c r="I62" s="3">
        <f>D62*C62</f>
        <v>0</v>
      </c>
    </row>
    <row r="63" spans="1:9" x14ac:dyDescent="0.7">
      <c r="B63" s="1" t="s">
        <v>33</v>
      </c>
      <c r="C63" s="1">
        <v>3</v>
      </c>
      <c r="D63" s="101">
        <v>0</v>
      </c>
      <c r="I63" s="3">
        <f>D63*C63</f>
        <v>0</v>
      </c>
    </row>
    <row r="64" spans="1:9" x14ac:dyDescent="0.7">
      <c r="B64" s="1" t="s">
        <v>34</v>
      </c>
      <c r="C64" s="1">
        <v>4</v>
      </c>
      <c r="D64" s="101">
        <v>0</v>
      </c>
      <c r="I64" s="3">
        <f>D64*C64</f>
        <v>0</v>
      </c>
    </row>
    <row r="65" spans="1:9" x14ac:dyDescent="0.7">
      <c r="B65" s="1" t="s">
        <v>160</v>
      </c>
      <c r="C65" s="1">
        <v>1</v>
      </c>
      <c r="D65" s="101">
        <v>0</v>
      </c>
      <c r="I65" s="3">
        <f>D65*C65</f>
        <v>0</v>
      </c>
    </row>
    <row r="66" spans="1:9" x14ac:dyDescent="0.7">
      <c r="B66" s="146" t="s">
        <v>29</v>
      </c>
      <c r="C66" s="146"/>
      <c r="D66" s="146"/>
      <c r="E66" s="146"/>
      <c r="F66" s="146"/>
    </row>
    <row r="67" spans="1:9" ht="39" customHeight="1" x14ac:dyDescent="0.7">
      <c r="B67" s="162" t="s">
        <v>187</v>
      </c>
      <c r="C67" s="162"/>
      <c r="D67" s="162"/>
      <c r="E67" s="162"/>
      <c r="F67" s="162"/>
    </row>
    <row r="68" spans="1:9" x14ac:dyDescent="0.7">
      <c r="B68" s="162" t="s">
        <v>37</v>
      </c>
      <c r="C68" s="162"/>
      <c r="D68" s="162"/>
      <c r="E68" s="162"/>
      <c r="F68" s="162"/>
    </row>
    <row r="69" spans="1:9" ht="48" customHeight="1" x14ac:dyDescent="0.7">
      <c r="A69" s="1" t="s">
        <v>190</v>
      </c>
      <c r="B69" s="153" t="s">
        <v>161</v>
      </c>
      <c r="C69" s="153"/>
      <c r="D69" s="70"/>
      <c r="E69" s="70"/>
      <c r="F69" s="70"/>
    </row>
    <row r="70" spans="1:9" ht="73.8" x14ac:dyDescent="0.7">
      <c r="B70" s="1" t="s">
        <v>31</v>
      </c>
      <c r="C70" s="1" t="s">
        <v>35</v>
      </c>
      <c r="D70" s="102" t="s">
        <v>186</v>
      </c>
    </row>
    <row r="71" spans="1:9" x14ac:dyDescent="0.7">
      <c r="B71" s="1" t="s">
        <v>32</v>
      </c>
      <c r="C71" s="1">
        <v>3</v>
      </c>
      <c r="D71" s="101">
        <v>0</v>
      </c>
      <c r="I71" s="3">
        <f>D71*C71</f>
        <v>0</v>
      </c>
    </row>
    <row r="72" spans="1:9" x14ac:dyDescent="0.7">
      <c r="B72" s="1" t="s">
        <v>33</v>
      </c>
      <c r="C72" s="1">
        <v>4</v>
      </c>
      <c r="D72" s="101">
        <v>0</v>
      </c>
      <c r="I72" s="3">
        <f>D72*C72</f>
        <v>0</v>
      </c>
    </row>
    <row r="73" spans="1:9" x14ac:dyDescent="0.7">
      <c r="B73" s="1" t="s">
        <v>34</v>
      </c>
      <c r="C73" s="1">
        <v>5</v>
      </c>
      <c r="D73" s="101">
        <v>0</v>
      </c>
      <c r="I73" s="3">
        <f>D73*C73</f>
        <v>0</v>
      </c>
    </row>
    <row r="74" spans="1:9" x14ac:dyDescent="0.7">
      <c r="B74" s="1" t="s">
        <v>160</v>
      </c>
      <c r="C74" s="1">
        <v>3</v>
      </c>
      <c r="D74" s="101">
        <v>0</v>
      </c>
      <c r="I74" s="3">
        <f>D74*C74</f>
        <v>0</v>
      </c>
    </row>
    <row r="75" spans="1:9" x14ac:dyDescent="0.7">
      <c r="B75" s="169" t="s">
        <v>29</v>
      </c>
      <c r="C75" s="170"/>
      <c r="D75" s="170"/>
      <c r="E75" s="170"/>
      <c r="F75" s="171"/>
    </row>
    <row r="76" spans="1:9" ht="25.05" customHeight="1" x14ac:dyDescent="0.7">
      <c r="B76" s="163" t="s">
        <v>187</v>
      </c>
      <c r="C76" s="164"/>
      <c r="D76" s="164"/>
      <c r="E76" s="164"/>
      <c r="F76" s="165"/>
    </row>
    <row r="77" spans="1:9" ht="25.2" thickBot="1" x14ac:dyDescent="0.75">
      <c r="B77" s="166" t="s">
        <v>37</v>
      </c>
      <c r="C77" s="167"/>
      <c r="D77" s="167"/>
      <c r="E77" s="167"/>
      <c r="F77" s="168"/>
    </row>
    <row r="78" spans="1:9" ht="25.2" thickBot="1" x14ac:dyDescent="0.75">
      <c r="F78" s="158" t="s">
        <v>38</v>
      </c>
      <c r="G78" s="159"/>
      <c r="H78" s="160"/>
      <c r="I78" s="103">
        <f>SUM(I6:I77)</f>
        <v>18</v>
      </c>
    </row>
  </sheetData>
  <mergeCells count="35">
    <mergeCell ref="F78:H78"/>
    <mergeCell ref="C10:C11"/>
    <mergeCell ref="B10:B11"/>
    <mergeCell ref="C22:C23"/>
    <mergeCell ref="B22:B23"/>
    <mergeCell ref="C26:C27"/>
    <mergeCell ref="B26:B27"/>
    <mergeCell ref="D51:E51"/>
    <mergeCell ref="D26:E26"/>
    <mergeCell ref="B66:F66"/>
    <mergeCell ref="B67:F67"/>
    <mergeCell ref="B68:F68"/>
    <mergeCell ref="B76:F76"/>
    <mergeCell ref="B77:F77"/>
    <mergeCell ref="B75:F75"/>
    <mergeCell ref="B56:F56"/>
    <mergeCell ref="D4:E4"/>
    <mergeCell ref="D10:E10"/>
    <mergeCell ref="C4:C5"/>
    <mergeCell ref="B4:B5"/>
    <mergeCell ref="D22:E22"/>
    <mergeCell ref="B57:F57"/>
    <mergeCell ref="B58:F58"/>
    <mergeCell ref="B39:E39"/>
    <mergeCell ref="B69:C69"/>
    <mergeCell ref="B47:F47"/>
    <mergeCell ref="B48:F48"/>
    <mergeCell ref="B49:F49"/>
    <mergeCell ref="B33:H33"/>
    <mergeCell ref="B30:F30"/>
    <mergeCell ref="B17:G17"/>
    <mergeCell ref="B18:G18"/>
    <mergeCell ref="B19:G19"/>
    <mergeCell ref="B31:H31"/>
    <mergeCell ref="B32:H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0781-A6BA-4894-9ADE-A1FBD49BD9CC}">
  <dimension ref="A1:E44"/>
  <sheetViews>
    <sheetView topLeftCell="A38" workbookViewId="0">
      <selection activeCell="C8" sqref="C8"/>
    </sheetView>
  </sheetViews>
  <sheetFormatPr defaultColWidth="8.88671875" defaultRowHeight="24.6" x14ac:dyDescent="0.7"/>
  <cols>
    <col min="1" max="1" width="59" style="1" customWidth="1"/>
    <col min="2" max="2" width="29.6640625" style="1" customWidth="1"/>
    <col min="3" max="3" width="33.88671875" style="1" customWidth="1"/>
    <col min="4" max="4" width="22.77734375" style="5" customWidth="1"/>
    <col min="5" max="256" width="42.21875" style="1" customWidth="1"/>
    <col min="257" max="16384" width="8.88671875" style="1"/>
  </cols>
  <sheetData>
    <row r="1" spans="1:5" ht="49.95" customHeight="1" x14ac:dyDescent="0.7">
      <c r="A1" s="172" t="s">
        <v>219</v>
      </c>
      <c r="B1" s="172"/>
      <c r="C1" s="172"/>
      <c r="D1" s="172"/>
    </row>
    <row r="2" spans="1:5" x14ac:dyDescent="0.7">
      <c r="A2" s="6" t="s">
        <v>39</v>
      </c>
      <c r="B2" s="7" t="s">
        <v>40</v>
      </c>
      <c r="C2" s="7" t="s">
        <v>41</v>
      </c>
      <c r="D2" s="8" t="s">
        <v>40</v>
      </c>
    </row>
    <row r="3" spans="1:5" x14ac:dyDescent="0.7">
      <c r="A3" s="1" t="s">
        <v>42</v>
      </c>
      <c r="B3" s="1" t="s">
        <v>43</v>
      </c>
      <c r="C3" s="101">
        <v>0</v>
      </c>
      <c r="D3" s="5">
        <f>C3*0.5</f>
        <v>0</v>
      </c>
    </row>
    <row r="4" spans="1:5" ht="49.2" x14ac:dyDescent="0.7">
      <c r="A4" s="4" t="s">
        <v>44</v>
      </c>
      <c r="B4" s="1" t="s">
        <v>45</v>
      </c>
      <c r="C4" s="101">
        <v>0</v>
      </c>
      <c r="D4" s="5">
        <f>C4*0.5</f>
        <v>0</v>
      </c>
    </row>
    <row r="5" spans="1:5" ht="49.2" x14ac:dyDescent="0.7">
      <c r="A5" s="4" t="s">
        <v>46</v>
      </c>
      <c r="B5" s="1" t="s">
        <v>45</v>
      </c>
      <c r="C5" s="101">
        <v>0</v>
      </c>
      <c r="D5" s="5">
        <f>C5*0.5</f>
        <v>0</v>
      </c>
    </row>
    <row r="6" spans="1:5" ht="49.2" x14ac:dyDescent="0.7">
      <c r="A6" s="4" t="s">
        <v>47</v>
      </c>
      <c r="B6" s="1" t="s">
        <v>48</v>
      </c>
      <c r="C6" s="101">
        <v>0</v>
      </c>
      <c r="D6" s="5">
        <f>C6*0.5</f>
        <v>0</v>
      </c>
    </row>
    <row r="7" spans="1:5" x14ac:dyDescent="0.7">
      <c r="A7" s="4" t="s">
        <v>49</v>
      </c>
      <c r="B7" s="1" t="s">
        <v>162</v>
      </c>
      <c r="C7" s="101">
        <v>0</v>
      </c>
      <c r="D7" s="5">
        <f>C7/3</f>
        <v>0</v>
      </c>
    </row>
    <row r="8" spans="1:5" ht="98.4" x14ac:dyDescent="0.7">
      <c r="A8" s="4" t="s">
        <v>50</v>
      </c>
      <c r="C8" s="7" t="s">
        <v>41</v>
      </c>
    </row>
    <row r="9" spans="1:5" x14ac:dyDescent="0.7">
      <c r="A9" s="4" t="s">
        <v>51</v>
      </c>
      <c r="B9" s="1" t="s">
        <v>52</v>
      </c>
      <c r="C9" s="101">
        <v>0</v>
      </c>
      <c r="D9" s="5">
        <f>C9*0.25</f>
        <v>0</v>
      </c>
    </row>
    <row r="10" spans="1:5" x14ac:dyDescent="0.7">
      <c r="A10" s="4" t="s">
        <v>53</v>
      </c>
      <c r="B10" s="1" t="s">
        <v>54</v>
      </c>
      <c r="C10" s="101">
        <v>0</v>
      </c>
      <c r="D10" s="5">
        <f>C10*1</f>
        <v>0</v>
      </c>
    </row>
    <row r="11" spans="1:5" ht="49.2" x14ac:dyDescent="0.7">
      <c r="A11" s="4" t="s">
        <v>191</v>
      </c>
      <c r="B11" s="1" t="s">
        <v>192</v>
      </c>
      <c r="C11" s="101">
        <v>0</v>
      </c>
      <c r="D11" s="5">
        <f>IF((C11*0.25)&gt;3,3,C11*0.25)</f>
        <v>0</v>
      </c>
      <c r="E11" s="1">
        <f>0.25*30</f>
        <v>7.5</v>
      </c>
    </row>
    <row r="12" spans="1:5" x14ac:dyDescent="0.7">
      <c r="A12" s="91" t="s">
        <v>164</v>
      </c>
    </row>
    <row r="13" spans="1:5" x14ac:dyDescent="0.7">
      <c r="A13" s="91" t="s">
        <v>165</v>
      </c>
      <c r="C13" s="7" t="s">
        <v>41</v>
      </c>
    </row>
    <row r="14" spans="1:5" x14ac:dyDescent="0.7">
      <c r="A14" s="4" t="s">
        <v>169</v>
      </c>
      <c r="B14" s="1">
        <v>3</v>
      </c>
      <c r="C14" s="101">
        <v>0</v>
      </c>
      <c r="D14" s="5">
        <f>C14*B14</f>
        <v>0</v>
      </c>
    </row>
    <row r="15" spans="1:5" x14ac:dyDescent="0.7">
      <c r="A15" s="4" t="s">
        <v>170</v>
      </c>
      <c r="B15" s="1">
        <v>1.5</v>
      </c>
      <c r="C15" s="101">
        <v>5</v>
      </c>
      <c r="D15" s="5">
        <f>C15*B15</f>
        <v>7.5</v>
      </c>
    </row>
    <row r="16" spans="1:5" x14ac:dyDescent="0.7">
      <c r="A16" s="91" t="s">
        <v>166</v>
      </c>
      <c r="C16" s="88"/>
    </row>
    <row r="17" spans="1:4" x14ac:dyDescent="0.7">
      <c r="A17" s="4" t="s">
        <v>169</v>
      </c>
      <c r="B17" s="1">
        <v>4</v>
      </c>
      <c r="C17" s="101">
        <v>0</v>
      </c>
      <c r="D17" s="5">
        <f>C17*B17</f>
        <v>0</v>
      </c>
    </row>
    <row r="18" spans="1:4" x14ac:dyDescent="0.7">
      <c r="A18" s="4" t="s">
        <v>170</v>
      </c>
      <c r="B18" s="1">
        <v>2</v>
      </c>
      <c r="C18" s="101">
        <v>0</v>
      </c>
      <c r="D18" s="5">
        <f>C18*B18</f>
        <v>0</v>
      </c>
    </row>
    <row r="19" spans="1:4" x14ac:dyDescent="0.7">
      <c r="A19" s="91" t="s">
        <v>167</v>
      </c>
      <c r="C19" s="88"/>
    </row>
    <row r="20" spans="1:4" x14ac:dyDescent="0.7">
      <c r="A20" s="4" t="s">
        <v>169</v>
      </c>
      <c r="B20" s="1">
        <v>5</v>
      </c>
      <c r="C20" s="101">
        <v>0</v>
      </c>
      <c r="D20" s="5">
        <f>C20*B20</f>
        <v>0</v>
      </c>
    </row>
    <row r="21" spans="1:4" x14ac:dyDescent="0.7">
      <c r="A21" s="4" t="s">
        <v>170</v>
      </c>
      <c r="B21" s="1">
        <v>2.5</v>
      </c>
      <c r="C21" s="101">
        <v>0</v>
      </c>
      <c r="D21" s="5">
        <f>C21*B21</f>
        <v>0</v>
      </c>
    </row>
    <row r="22" spans="1:4" x14ac:dyDescent="0.7">
      <c r="A22" s="91" t="s">
        <v>168</v>
      </c>
      <c r="C22" s="88"/>
    </row>
    <row r="23" spans="1:4" x14ac:dyDescent="0.7">
      <c r="A23" s="4" t="s">
        <v>169</v>
      </c>
      <c r="B23" s="1">
        <v>6</v>
      </c>
      <c r="C23" s="101">
        <v>0</v>
      </c>
      <c r="D23" s="5">
        <f>C23*B23</f>
        <v>0</v>
      </c>
    </row>
    <row r="24" spans="1:4" x14ac:dyDescent="0.7">
      <c r="A24" s="4" t="s">
        <v>170</v>
      </c>
      <c r="B24" s="1">
        <v>3</v>
      </c>
      <c r="C24" s="101">
        <v>1</v>
      </c>
      <c r="D24" s="5">
        <f>C24*B24</f>
        <v>3</v>
      </c>
    </row>
    <row r="25" spans="1:4" x14ac:dyDescent="0.7">
      <c r="A25" s="91" t="s">
        <v>163</v>
      </c>
    </row>
    <row r="26" spans="1:4" x14ac:dyDescent="0.7">
      <c r="A26" s="91" t="s">
        <v>193</v>
      </c>
    </row>
    <row r="27" spans="1:4" x14ac:dyDescent="0.7">
      <c r="A27" s="4" t="s">
        <v>194</v>
      </c>
      <c r="B27" s="1">
        <v>3</v>
      </c>
      <c r="C27" s="101">
        <v>1</v>
      </c>
      <c r="D27" s="5">
        <f>C27*B27</f>
        <v>3</v>
      </c>
    </row>
    <row r="28" spans="1:4" x14ac:dyDescent="0.7">
      <c r="A28" s="4" t="s">
        <v>195</v>
      </c>
      <c r="B28" s="1">
        <v>1.5</v>
      </c>
      <c r="C28" s="101">
        <v>3</v>
      </c>
      <c r="D28" s="5">
        <f>C28*B28</f>
        <v>4.5</v>
      </c>
    </row>
    <row r="29" spans="1:4" ht="49.2" x14ac:dyDescent="0.7">
      <c r="A29" s="91" t="s">
        <v>55</v>
      </c>
    </row>
    <row r="30" spans="1:4" x14ac:dyDescent="0.7">
      <c r="A30" s="1" t="s">
        <v>196</v>
      </c>
      <c r="B30" s="1">
        <v>1</v>
      </c>
      <c r="C30" s="101">
        <v>0</v>
      </c>
      <c r="D30" s="5">
        <f>C30*B30</f>
        <v>0</v>
      </c>
    </row>
    <row r="31" spans="1:4" x14ac:dyDescent="0.7">
      <c r="A31" s="1" t="s">
        <v>197</v>
      </c>
      <c r="B31" s="1">
        <v>0.5</v>
      </c>
      <c r="C31" s="101">
        <v>0</v>
      </c>
      <c r="D31" s="5">
        <f>C31*B31</f>
        <v>0</v>
      </c>
    </row>
    <row r="32" spans="1:4" ht="25.2" thickBot="1" x14ac:dyDescent="0.75"/>
    <row r="33" spans="1:4" ht="25.2" thickBot="1" x14ac:dyDescent="0.75">
      <c r="A33" s="106" t="s">
        <v>56</v>
      </c>
      <c r="B33" s="9"/>
      <c r="C33" s="9"/>
      <c r="D33" s="107">
        <f>SUM(D3:D31)</f>
        <v>18</v>
      </c>
    </row>
    <row r="35" spans="1:4" x14ac:dyDescent="0.7">
      <c r="A35" s="2" t="s">
        <v>57</v>
      </c>
    </row>
    <row r="36" spans="1:4" ht="49.05" customHeight="1" x14ac:dyDescent="0.7">
      <c r="A36" s="151" t="s">
        <v>220</v>
      </c>
      <c r="B36" s="152"/>
      <c r="C36" s="152"/>
    </row>
    <row r="37" spans="1:4" ht="58.5" customHeight="1" x14ac:dyDescent="0.7">
      <c r="A37" s="151" t="s">
        <v>221</v>
      </c>
      <c r="B37" s="152"/>
      <c r="C37" s="152"/>
    </row>
    <row r="38" spans="1:4" ht="55.95" customHeight="1" x14ac:dyDescent="0.7">
      <c r="A38" s="151" t="s">
        <v>222</v>
      </c>
      <c r="B38" s="152"/>
      <c r="C38" s="152"/>
    </row>
    <row r="39" spans="1:4" ht="58.5" customHeight="1" x14ac:dyDescent="0.7">
      <c r="A39" s="151" t="s">
        <v>223</v>
      </c>
      <c r="B39" s="151"/>
      <c r="C39" s="151"/>
    </row>
    <row r="40" spans="1:4" ht="75.45" customHeight="1" x14ac:dyDescent="0.7">
      <c r="A40" s="144" t="s">
        <v>224</v>
      </c>
      <c r="B40" s="144"/>
      <c r="C40" s="144"/>
    </row>
    <row r="41" spans="1:4" ht="33.450000000000003" customHeight="1" x14ac:dyDescent="0.7">
      <c r="A41" s="144">
        <v>6</v>
      </c>
      <c r="B41" s="144"/>
      <c r="C41" s="144"/>
    </row>
    <row r="42" spans="1:4" ht="52.05" customHeight="1" x14ac:dyDescent="0.7">
      <c r="A42" s="144">
        <v>7</v>
      </c>
      <c r="B42" s="144"/>
      <c r="C42" s="144"/>
    </row>
    <row r="43" spans="1:4" x14ac:dyDescent="0.7">
      <c r="A43" s="144">
        <v>8</v>
      </c>
      <c r="B43" s="144"/>
      <c r="C43" s="144"/>
    </row>
    <row r="44" spans="1:4" x14ac:dyDescent="0.7">
      <c r="A44" s="144">
        <v>9</v>
      </c>
      <c r="B44" s="144"/>
      <c r="C44" s="144"/>
    </row>
  </sheetData>
  <mergeCells count="10">
    <mergeCell ref="A1:D1"/>
    <mergeCell ref="A39:C39"/>
    <mergeCell ref="A43:C43"/>
    <mergeCell ref="A44:C44"/>
    <mergeCell ref="A40:C40"/>
    <mergeCell ref="A41:C41"/>
    <mergeCell ref="A42:C42"/>
    <mergeCell ref="A36:C36"/>
    <mergeCell ref="A37:C37"/>
    <mergeCell ref="A38:C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9A00-2B52-4619-9B20-9AE42C057711}">
  <dimension ref="A1:E27"/>
  <sheetViews>
    <sheetView workbookViewId="0">
      <selection activeCell="D3" sqref="D3:D5"/>
    </sheetView>
  </sheetViews>
  <sheetFormatPr defaultColWidth="8.88671875" defaultRowHeight="24.6" x14ac:dyDescent="0.7"/>
  <cols>
    <col min="1" max="1" width="56.88671875" style="1" customWidth="1"/>
    <col min="2" max="2" width="27.6640625" style="1" customWidth="1"/>
    <col min="3" max="3" width="25.6640625" style="1" customWidth="1"/>
    <col min="4" max="4" width="25.6640625" style="5" customWidth="1"/>
    <col min="5" max="256" width="25.6640625" style="1" customWidth="1"/>
    <col min="257" max="16384" width="8.88671875" style="1"/>
  </cols>
  <sheetData>
    <row r="1" spans="1:5" ht="43.5" customHeight="1" x14ac:dyDescent="0.7">
      <c r="A1" s="117" t="s">
        <v>226</v>
      </c>
      <c r="B1" s="117"/>
      <c r="C1" s="117"/>
      <c r="D1" s="117"/>
    </row>
    <row r="2" spans="1:5" ht="49.2" x14ac:dyDescent="0.7">
      <c r="A2" s="56" t="s">
        <v>108</v>
      </c>
      <c r="B2" s="56" t="s">
        <v>40</v>
      </c>
      <c r="C2" s="57" t="s">
        <v>109</v>
      </c>
      <c r="D2" s="58" t="s">
        <v>68</v>
      </c>
    </row>
    <row r="3" spans="1:5" x14ac:dyDescent="0.7">
      <c r="A3" s="59" t="s">
        <v>110</v>
      </c>
      <c r="B3" s="60" t="s">
        <v>111</v>
      </c>
      <c r="C3" s="86">
        <v>1</v>
      </c>
      <c r="D3" s="116">
        <v>9</v>
      </c>
      <c r="E3" s="1" t="s">
        <v>112</v>
      </c>
    </row>
    <row r="4" spans="1:5" x14ac:dyDescent="0.7">
      <c r="A4" s="61" t="s">
        <v>198</v>
      </c>
      <c r="B4" s="60" t="s">
        <v>113</v>
      </c>
      <c r="C4" s="86">
        <v>0</v>
      </c>
      <c r="D4" s="116"/>
    </row>
    <row r="5" spans="1:5" ht="123" x14ac:dyDescent="0.7">
      <c r="A5" s="61" t="s">
        <v>114</v>
      </c>
      <c r="B5" s="60" t="s">
        <v>115</v>
      </c>
      <c r="C5" s="86">
        <v>0</v>
      </c>
      <c r="D5" s="116"/>
    </row>
    <row r="6" spans="1:5" x14ac:dyDescent="0.7">
      <c r="A6" s="62" t="s">
        <v>116</v>
      </c>
      <c r="B6" s="60" t="s">
        <v>117</v>
      </c>
      <c r="C6" s="86">
        <v>1</v>
      </c>
      <c r="D6" s="63">
        <f>C6*5</f>
        <v>5</v>
      </c>
    </row>
    <row r="7" spans="1:5" ht="49.2" x14ac:dyDescent="0.7">
      <c r="A7" s="62" t="s">
        <v>118</v>
      </c>
      <c r="B7" s="64" t="s">
        <v>119</v>
      </c>
      <c r="C7" s="86">
        <v>0</v>
      </c>
      <c r="D7" s="63">
        <f>IF((C7*1)&gt;4,4,C7)</f>
        <v>0</v>
      </c>
    </row>
    <row r="8" spans="1:5" x14ac:dyDescent="0.7">
      <c r="A8" s="62" t="s">
        <v>120</v>
      </c>
      <c r="B8" s="64" t="s">
        <v>121</v>
      </c>
      <c r="C8" s="86">
        <v>0</v>
      </c>
      <c r="D8" s="63">
        <f>IF((C8*2)&gt;8,8,(C8*2))</f>
        <v>0</v>
      </c>
    </row>
    <row r="9" spans="1:5" ht="73.8" x14ac:dyDescent="0.7">
      <c r="A9" s="62" t="s">
        <v>122</v>
      </c>
      <c r="B9" s="64" t="s">
        <v>123</v>
      </c>
      <c r="C9" s="86">
        <v>8</v>
      </c>
      <c r="D9" s="63">
        <f>IF((C9*0.5)&gt;4,4,(C9*0.5))</f>
        <v>4</v>
      </c>
    </row>
    <row r="10" spans="1:5" ht="49.2" x14ac:dyDescent="0.7">
      <c r="A10" s="62" t="s">
        <v>124</v>
      </c>
      <c r="B10" s="64" t="s">
        <v>125</v>
      </c>
      <c r="C10" s="86">
        <v>0</v>
      </c>
      <c r="D10" s="63">
        <f>C10*2</f>
        <v>0</v>
      </c>
    </row>
    <row r="11" spans="1:5" ht="49.2" x14ac:dyDescent="0.7">
      <c r="A11" s="62" t="s">
        <v>126</v>
      </c>
      <c r="B11" s="64" t="s">
        <v>127</v>
      </c>
      <c r="C11" s="86">
        <v>0</v>
      </c>
      <c r="D11" s="63">
        <f>IF((C11*1)&gt;6,6,(C11*1))</f>
        <v>0</v>
      </c>
    </row>
    <row r="12" spans="1:5" x14ac:dyDescent="0.7">
      <c r="A12" s="62" t="s">
        <v>128</v>
      </c>
      <c r="B12" s="64" t="s">
        <v>129</v>
      </c>
      <c r="C12" s="86">
        <v>0</v>
      </c>
      <c r="D12" s="63">
        <f>IF((C12*0.5)&gt;6,6,(C12*0.5))</f>
        <v>0</v>
      </c>
    </row>
    <row r="13" spans="1:5" x14ac:dyDescent="0.7">
      <c r="A13" s="62" t="s">
        <v>130</v>
      </c>
      <c r="B13" s="60" t="s">
        <v>131</v>
      </c>
      <c r="C13" s="86">
        <v>1</v>
      </c>
      <c r="D13" s="63">
        <f>C13*3</f>
        <v>3</v>
      </c>
    </row>
    <row r="17" spans="1:4" x14ac:dyDescent="0.7">
      <c r="A17" s="2" t="s">
        <v>199</v>
      </c>
      <c r="D17" s="1"/>
    </row>
    <row r="18" spans="1:4" x14ac:dyDescent="0.7">
      <c r="A18" s="54" t="s">
        <v>98</v>
      </c>
      <c r="B18" s="54" t="s">
        <v>40</v>
      </c>
      <c r="C18" s="54" t="s">
        <v>99</v>
      </c>
      <c r="D18" s="55"/>
    </row>
    <row r="19" spans="1:4" x14ac:dyDescent="0.7">
      <c r="A19" s="1" t="s">
        <v>100</v>
      </c>
      <c r="B19" s="1" t="s">
        <v>101</v>
      </c>
      <c r="C19" s="101">
        <v>0</v>
      </c>
      <c r="D19" s="5">
        <f>C19*2</f>
        <v>0</v>
      </c>
    </row>
    <row r="20" spans="1:4" ht="49.2" x14ac:dyDescent="0.7">
      <c r="A20" s="4" t="s">
        <v>102</v>
      </c>
      <c r="B20" s="4" t="s">
        <v>208</v>
      </c>
      <c r="C20" s="101">
        <v>0</v>
      </c>
      <c r="D20" s="5">
        <f>IF(C20&gt;6,6,C20)</f>
        <v>0</v>
      </c>
    </row>
    <row r="21" spans="1:4" ht="49.8" thickBot="1" x14ac:dyDescent="0.75">
      <c r="A21" s="1" t="s">
        <v>103</v>
      </c>
      <c r="B21" s="4" t="s">
        <v>104</v>
      </c>
      <c r="C21" s="101">
        <v>4</v>
      </c>
      <c r="D21" s="5">
        <f>IF((C21*(0.5))&gt;2,2,(C21*0.5))</f>
        <v>2</v>
      </c>
    </row>
    <row r="22" spans="1:4" ht="25.2" thickBot="1" x14ac:dyDescent="0.75">
      <c r="A22" s="65" t="s">
        <v>200</v>
      </c>
      <c r="B22" s="9"/>
      <c r="C22" s="9"/>
      <c r="D22" s="107">
        <f>SUM(D3:D21)</f>
        <v>23</v>
      </c>
    </row>
    <row r="23" spans="1:4" x14ac:dyDescent="0.7">
      <c r="A23" s="2"/>
    </row>
    <row r="24" spans="1:4" x14ac:dyDescent="0.7">
      <c r="A24" s="2" t="s">
        <v>105</v>
      </c>
      <c r="D24" s="1"/>
    </row>
    <row r="25" spans="1:4" x14ac:dyDescent="0.7">
      <c r="A25" s="88" t="s">
        <v>106</v>
      </c>
      <c r="D25" s="1"/>
    </row>
    <row r="26" spans="1:4" x14ac:dyDescent="0.7">
      <c r="A26" s="88" t="s">
        <v>107</v>
      </c>
      <c r="D26" s="1"/>
    </row>
    <row r="27" spans="1:4" x14ac:dyDescent="0.7">
      <c r="A27" s="88" t="s">
        <v>201</v>
      </c>
    </row>
  </sheetData>
  <mergeCells count="2">
    <mergeCell ref="D3:D5"/>
    <mergeCell ref="A1:D1"/>
  </mergeCells>
  <dataValidations count="1">
    <dataValidation type="list" allowBlank="1" showInputMessage="1" showErrorMessage="1" sqref="D3:D5" xr:uid="{77481CE6-0495-4EB0-AAE4-9EBDB4B817DB}">
      <formula1>"9,13,18"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1.สอน</vt:lpstr>
      <vt:lpstr>2.วิจัย</vt:lpstr>
      <vt:lpstr>3.บริการวิชาการ</vt:lpstr>
      <vt:lpstr>4.บริหาร+กิจการนิสิต+ศิลปะวัฒน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Penchan Laongmanee</dc:creator>
  <cp:lastModifiedBy>Penchan Laonqmanee</cp:lastModifiedBy>
  <dcterms:created xsi:type="dcterms:W3CDTF">2023-09-15T03:50:48Z</dcterms:created>
  <dcterms:modified xsi:type="dcterms:W3CDTF">2026-02-18T16:13:13Z</dcterms:modified>
</cp:coreProperties>
</file>